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8620" yWindow="660" windowWidth="8000" windowHeight="2500" tabRatio="270" activeTab="2"/>
  </bookViews>
  <sheets>
    <sheet name="Consulta" sheetId="1" r:id="rId1"/>
    <sheet name="Soportes" sheetId="2" r:id="rId2"/>
    <sheet name="Calculadora" sheetId="3" r:id="rId3"/>
  </sheets>
  <definedNames/>
  <calcPr fullCalcOnLoad="1"/>
</workbook>
</file>

<file path=xl/comments1.xml><?xml version="1.0" encoding="utf-8"?>
<comments xmlns="http://schemas.openxmlformats.org/spreadsheetml/2006/main">
  <authors>
    <author>A121830604</author>
    <author>Brayan Rey</author>
  </authors>
  <commentList>
    <comment ref="I6" authorId="0">
      <text>
        <r>
          <rPr>
            <b/>
            <sz val="11"/>
            <rFont val="Calibri"/>
            <family val="2"/>
          </rPr>
          <t xml:space="preserve">Blackberry o Smartphone: 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Calibri"/>
            <family val="2"/>
          </rPr>
          <t>Hace referencia a:
*Planes de Voz + Paquete Blackberry ó Smartphone (Voz y Datos)
*Planes Blackberry (Solo Datos)
*Planes Smartphone (Solo Datos)</t>
        </r>
        <r>
          <rPr>
            <sz val="9"/>
            <rFont val="Arial Narrow"/>
            <family val="2"/>
          </rPr>
          <t xml:space="preserve">
- - - - - - - - - - - - - - - - - - - - - - - - - - - - - - - - - - - - - - - - - - - - - - - - - - - - 
-</t>
        </r>
        <r>
          <rPr>
            <b/>
            <sz val="11"/>
            <rFont val="Calibri"/>
            <family val="2"/>
          </rPr>
          <t xml:space="preserve">CESION: </t>
        </r>
        <r>
          <rPr>
            <sz val="9"/>
            <rFont val="Calibri"/>
            <family val="2"/>
          </rPr>
          <t>Tambien puede realizar consultas para CESION DE CONTRATO, en Tipo de Activacion seleccione Pospago-Cesion</t>
        </r>
      </text>
    </comment>
    <comment ref="AR128" authorId="1">
      <text>
        <r>
          <rPr>
            <b/>
            <sz val="9"/>
            <rFont val="Tahoma"/>
            <family val="2"/>
          </rPr>
          <t>guia</t>
        </r>
      </text>
    </comment>
    <comment ref="BK27" authorId="1">
      <text>
        <r>
          <rPr>
            <b/>
            <sz val="9"/>
            <rFont val="Tahoma"/>
            <family val="2"/>
          </rPr>
          <t>Modificado Tipo D se iguala Voz y Oficina movil</t>
        </r>
      </text>
    </comment>
    <comment ref="BI27" authorId="1">
      <text>
        <r>
          <rPr>
            <b/>
            <sz val="9"/>
            <rFont val="Tahoma"/>
            <family val="2"/>
          </rPr>
          <t>Modificado Tipo D se iguala Voz y Oficina movil</t>
        </r>
      </text>
    </comment>
    <comment ref="Z86" authorId="1">
      <text>
        <r>
          <rPr>
            <b/>
            <sz val="9"/>
            <rFont val="Tahoma"/>
            <family val="2"/>
          </rPr>
          <t>Modificado Tipo D se iguala Voz y Oficina movil</t>
        </r>
      </text>
    </comment>
    <comment ref="Z85" authorId="1">
      <text>
        <r>
          <rPr>
            <b/>
            <sz val="9"/>
            <rFont val="Tahoma"/>
            <family val="2"/>
          </rPr>
          <t>Modificado Tipo D se iguala Voz y Oficina movil</t>
        </r>
      </text>
    </comment>
    <comment ref="BM27" authorId="1">
      <text>
        <r>
          <rPr>
            <b/>
            <sz val="9"/>
            <rFont val="Tahoma"/>
            <family val="2"/>
          </rPr>
          <t>Modificado Tipo D se iguala Voz y Oficina movil</t>
        </r>
      </text>
    </comment>
  </commentList>
</comments>
</file>

<file path=xl/sharedStrings.xml><?xml version="1.0" encoding="utf-8"?>
<sst xmlns="http://schemas.openxmlformats.org/spreadsheetml/2006/main" count="605" uniqueCount="267">
  <si>
    <t>Tipo de credito</t>
  </si>
  <si>
    <t>Comportam. de pago</t>
  </si>
  <si>
    <t>No. de lineas activas</t>
  </si>
  <si>
    <t>Comport pago</t>
  </si>
  <si>
    <t>No. Lineas</t>
  </si>
  <si>
    <t>Tipo credito</t>
  </si>
  <si>
    <t>Tipo A</t>
  </si>
  <si>
    <t>Tipo B</t>
  </si>
  <si>
    <t>Tipo C</t>
  </si>
  <si>
    <t>Tipo D</t>
  </si>
  <si>
    <t>Tipo P</t>
  </si>
  <si>
    <t>Tipo 5</t>
  </si>
  <si>
    <t>Sin habito de pago</t>
  </si>
  <si>
    <t>Regular</t>
  </si>
  <si>
    <t>Alto riesgo</t>
  </si>
  <si>
    <t>Baja</t>
  </si>
  <si>
    <t>Media</t>
  </si>
  <si>
    <t>Alta</t>
  </si>
  <si>
    <t>con estudio</t>
  </si>
  <si>
    <t>Tipo I</t>
  </si>
  <si>
    <t>Tipo 7</t>
  </si>
  <si>
    <t>Si</t>
  </si>
  <si>
    <t>Soportes</t>
  </si>
  <si>
    <t>Muy bueno</t>
  </si>
  <si>
    <t>Visita</t>
  </si>
  <si>
    <t>Limite Online</t>
  </si>
  <si>
    <t>Limite Diferida</t>
  </si>
  <si>
    <t>O</t>
  </si>
  <si>
    <t>D</t>
  </si>
  <si>
    <t>G</t>
  </si>
  <si>
    <t>dif</t>
  </si>
  <si>
    <t>trad</t>
  </si>
  <si>
    <t>Tradicional</t>
  </si>
  <si>
    <t>Cons Evid.</t>
  </si>
  <si>
    <t>Obs.</t>
  </si>
  <si>
    <t>Observaciones</t>
  </si>
  <si>
    <t>Solicitar aval por el modulo de autorizaciones cartera</t>
  </si>
  <si>
    <t>.</t>
  </si>
  <si>
    <t>Emple</t>
  </si>
  <si>
    <t>Indep</t>
  </si>
  <si>
    <t>Pens</t>
  </si>
  <si>
    <t>tipo A</t>
  </si>
  <si>
    <t>tipo B</t>
  </si>
  <si>
    <t>tipo C</t>
  </si>
  <si>
    <t>tipo D</t>
  </si>
  <si>
    <t>tipo P</t>
  </si>
  <si>
    <t>tipo 5</t>
  </si>
  <si>
    <t xml:space="preserve">Tres últimos recibos de la mesada pensional </t>
  </si>
  <si>
    <t>Declaración de Renta del último año o tres últimos extractos bancarios</t>
  </si>
  <si>
    <t>Tres últimas colillas de pago o certificación laboral</t>
  </si>
  <si>
    <t>Declaración de Renta del último año o tres últimos extractos bancarios ó Certificado de ingresos firmado por Contador Público</t>
  </si>
  <si>
    <t xml:space="preserve">Tres últimas colillas de pago o certificación laboral </t>
  </si>
  <si>
    <t>Tres últimos recibos de la mesada pensional</t>
  </si>
  <si>
    <t xml:space="preserve">Declaración de Renta del último año o tres últimos extractos bancarios, o Certificado de ingresos firmado por Contador Público  </t>
  </si>
  <si>
    <t xml:space="preserve">Declaración de Renta del último año ó Certificado de ingresos firmado por Contador Público  </t>
  </si>
  <si>
    <t xml:space="preserve">Declaración de Renta del último año </t>
  </si>
  <si>
    <t xml:space="preserve">Certificado de Ingresos firmado por Contador Público </t>
  </si>
  <si>
    <t xml:space="preserve">Media </t>
  </si>
  <si>
    <t>val. Online</t>
  </si>
  <si>
    <t>val. Dif</t>
  </si>
  <si>
    <t>Lim Online</t>
  </si>
  <si>
    <t>Lim Diferida</t>
  </si>
  <si>
    <t>Tipo de Venta</t>
  </si>
  <si>
    <t>Abierto</t>
  </si>
  <si>
    <t>Bogotá</t>
  </si>
  <si>
    <t>Cali</t>
  </si>
  <si>
    <t>Medellín</t>
  </si>
  <si>
    <t>Armenia</t>
  </si>
  <si>
    <t>Pereira</t>
  </si>
  <si>
    <t>Manizales</t>
  </si>
  <si>
    <t>Ibagué</t>
  </si>
  <si>
    <t>Villavicencio</t>
  </si>
  <si>
    <t>Barranquilla</t>
  </si>
  <si>
    <t>Santa marta</t>
  </si>
  <si>
    <t>Valledupar</t>
  </si>
  <si>
    <t>Otras Ciudades</t>
  </si>
  <si>
    <t>Capitales principales</t>
  </si>
  <si>
    <t>Otras capitales</t>
  </si>
  <si>
    <t>Plan de Voz</t>
  </si>
  <si>
    <t>Tipo  7</t>
  </si>
  <si>
    <t>Si presenta contraseña como documento de identidad NO APLICA para venta</t>
  </si>
  <si>
    <t>tipo I</t>
  </si>
  <si>
    <t>N/A</t>
  </si>
  <si>
    <t>Desea tramitarla como Estrategia Prepago</t>
  </si>
  <si>
    <t>APLICA POR CONSUMO – ESTRATEGIA PREPAGO (Validar consumos en poliedro y el plan con la circular) REQUISITOS:</t>
  </si>
  <si>
    <t>VOZ</t>
  </si>
  <si>
    <t>DATOS</t>
  </si>
  <si>
    <t>La línea que solicita es la primera de Datos</t>
  </si>
  <si>
    <t>No</t>
  </si>
  <si>
    <t>Bueno</t>
  </si>
  <si>
    <t>C.P.</t>
  </si>
  <si>
    <t>No.</t>
  </si>
  <si>
    <t>Sin estudio</t>
  </si>
  <si>
    <t>Otras ciudades</t>
  </si>
  <si>
    <t>Para Cali, Medellín y Bogota y si el estrato es 1 y 2 solo aplican planes y equipos gama baja</t>
  </si>
  <si>
    <t>ERROR, Comp pago</t>
  </si>
  <si>
    <t>ERROR, Tipo de plan</t>
  </si>
  <si>
    <t>Mixto</t>
  </si>
  <si>
    <t>Solo aplica para planes mixto Gama Baja.</t>
  </si>
  <si>
    <t>Solo aplica para planes mixtos.</t>
  </si>
  <si>
    <t>6. -</t>
  </si>
  <si>
    <t>6. Acuerdo de expedición y entrega de factura.</t>
  </si>
  <si>
    <t>7. Guia para uso de datos en el exterior.</t>
  </si>
  <si>
    <t>7. -</t>
  </si>
  <si>
    <t>HOY</t>
  </si>
  <si>
    <t>Lim</t>
  </si>
  <si>
    <t>La información ya esta desactualizada, desea hacer la consulta --&gt;</t>
  </si>
  <si>
    <t>*** Este archivo ya caduco, solicite uno nuevo ***</t>
  </si>
  <si>
    <t>El cliente activa un Plan Pospago de Voz Mixto o de Internet Móvil, de acuerdo al promedio de consumo que tenga en su línea Prepago.</t>
  </si>
  <si>
    <t>El cliente puede activar planes gama baja mixtos con equipo traído</t>
  </si>
  <si>
    <t>Diciembre_2012</t>
  </si>
  <si>
    <t>Plan Blackb o Smarthp</t>
  </si>
  <si>
    <t>Iphone (plan o pqte)</t>
  </si>
  <si>
    <t>Si se requiere que para planes oficina movil sin voz se tomen como abiertos hay qiue cambiar el valor de resultado del 1 al 2</t>
  </si>
  <si>
    <t>Beslo</t>
  </si>
  <si>
    <t>7. Cláusula de permanencia (opcional)*</t>
  </si>
  <si>
    <t xml:space="preserve">7. Cláusula de permanencia (opcional)* </t>
  </si>
  <si>
    <t>8. Anexos según la matriz de venta (Visita domiciliaria, anexo solicitud de servicio CHECK LIST, recibo servicio publico*,consulta evidente, soportes de ingreso, factura de venta, etc.)</t>
  </si>
  <si>
    <t>8. Anexos según la matriz de venta (Visita domiciliaria, anexo solicitud de servicio CHECK LIST*, recibo servicio publico*,consulta evidente, soportes de ingreso, factura de venta, etc.)</t>
  </si>
  <si>
    <t>Oriente, occidente</t>
  </si>
  <si>
    <t>Costa</t>
  </si>
  <si>
    <t>A</t>
  </si>
  <si>
    <t>B</t>
  </si>
  <si>
    <t>C</t>
  </si>
  <si>
    <t>P</t>
  </si>
  <si>
    <t>Mayor a 6 meses</t>
  </si>
  <si>
    <t>Menor a 6 meses</t>
  </si>
  <si>
    <t>Online</t>
  </si>
  <si>
    <t>Diferido</t>
  </si>
  <si>
    <t>*</t>
  </si>
  <si>
    <t>Varios</t>
  </si>
  <si>
    <t>Cliente antiguo circular pers. Natural</t>
  </si>
  <si>
    <t>Desea tramitarla con estudio de credito y/o equipo subsidiado</t>
  </si>
  <si>
    <t>Recuerde incluir la línea en la cuenta maestra ya creada</t>
  </si>
  <si>
    <t>Recuerde crear una cuenta maestra</t>
  </si>
  <si>
    <t>Debe cancelar tres (3) cargos fijos mensuales por anticipado, que serán aplicados en los meses 1, 3 y 5</t>
  </si>
  <si>
    <t>Solicitar aval por el modulo de autorizaciones cartera y cancelar tres (3) CFM por anticipado, que serán aplicados en los meses 1, 3 y 5</t>
  </si>
  <si>
    <t>Debe cancelar tres (3) cargos fijos mensuales por anticipado, con equipo de inventario de Claro, que serán aplicados en los meses 1, 3 y 5</t>
  </si>
  <si>
    <t>Aplica Sin soportes - Sin visita - Modulo Online - SIN consulta evidente - CON equipo traido SOLO para planes según Promedio de Consumo. Anexar OTRO SI. Para los demas planes o con movil de Claro seleccione la opcion con estudio de credito</t>
  </si>
  <si>
    <t xml:space="preserve">Aplica Sin soportes - Sin visita - Modulo Online - SIN consulta evidente - CON movil traido SOLO para planes según Promedio de Consumo. Anexar OTRO SI. </t>
  </si>
  <si>
    <t>Aplica Sin soportes - Sin visita - Modulo Online - SIN consulta evidente - CON movil traido SOLO para planes según Promedio de Consumo. Anexar OTRO SI. Para los demas planes o con movil de Claro seleccione la opcion con estudio de credito</t>
  </si>
  <si>
    <t>Aplica Sin soportes - Sin visita - Modulo Online - SIN consulta evidente - CON Movil traido - SOLO para planes según condiciones - SOLO con cedula c. Para los demás planes o con Movil de Claro seleccione la opción como Estrategia Prepago</t>
  </si>
  <si>
    <t>Aplica Sin soportes - Sin visita - Modulo Online - CON consulta evidente - CON movil traido - SOLO para planes según condiciones. Para los demas planes o con movil de Claro seleccione la opcion con estudio de credito</t>
  </si>
  <si>
    <t>SOPORTES DE INGRESOS - PERSONA NATURAL</t>
  </si>
  <si>
    <t>Empleado</t>
  </si>
  <si>
    <t>Pensionado</t>
  </si>
  <si>
    <t>Independiente</t>
  </si>
  <si>
    <t>Colillas de Pago</t>
  </si>
  <si>
    <t>Colillas de Pago Mesada Pensional</t>
  </si>
  <si>
    <t>Certificación de ingresos firmados por contador público</t>
  </si>
  <si>
    <t>Extractos Bancarios</t>
  </si>
  <si>
    <t xml:space="preserve">ó Certificación Laboral </t>
  </si>
  <si>
    <t>Declaración de Renta</t>
  </si>
  <si>
    <t>ó Extractos Bancarios</t>
  </si>
  <si>
    <t>ó Declaración de Renta</t>
  </si>
  <si>
    <r>
      <t xml:space="preserve">El promedio de pagos de los tres últimos meses debe demostrar los ingresos mensuales por línea y gama de acuerdo a la zona, estos deben contener el nombre de la empresa que la expide, su numero de Identificacion tributaria NIT, salario basico del empleado, periodo liquidado y las deducciones.
</t>
    </r>
    <r>
      <rPr>
        <b/>
        <sz val="10"/>
        <rFont val="Arial"/>
        <family val="2"/>
      </rPr>
      <t xml:space="preserve">Colillas de Pago = </t>
    </r>
    <r>
      <rPr>
        <sz val="10"/>
        <rFont val="Arial"/>
        <family val="0"/>
      </rPr>
      <t>Sumatoria del Devengado de los tres últimos meses / 3.</t>
    </r>
  </si>
  <si>
    <t>El promedio de pagos de los tres últimos meses debe demostrar los ingresos mensuales por línea y gama de acuerdo a la zona, estos deben contener el nombre de la empresa que la expide, su numero de Identificacion tributaria NIT, mesada pensional, periodo liquidado y las deducciones.</t>
  </si>
  <si>
    <t xml:space="preserve">La certificacion debe especificar las actividades producto de las cuales se percibe el ingreso y siempre se debe anexar la copia de la Tarjeta Profesional del Contador Público firmada al respaldo y su expedicion no debe superar los 30 Días. </t>
  </si>
  <si>
    <r>
      <t xml:space="preserve">Deben ser copias originales y/o movimientos con visado del banco emisor, al igual en ellos se debe visualizar el nombre del cliente y Tipo y numero de cuenta, se toma como ingresos el promedio de saldos de los tres meses.
</t>
    </r>
    <r>
      <rPr>
        <b/>
        <sz val="10"/>
        <rFont val="Arial"/>
        <family val="2"/>
      </rPr>
      <t xml:space="preserve">Extractos Bancarios = </t>
    </r>
    <r>
      <rPr>
        <sz val="10"/>
        <rFont val="Arial"/>
        <family val="0"/>
      </rPr>
      <t>Sumatoria de los saldos de la cuenta del último trimestre / 3.  Se tendrán en cuenta las consignaciones iguales o superiores al monto de ingresos establecido.</t>
    </r>
  </si>
  <si>
    <t>Este documento aplica para todas aquellas personas que posean un patrimonio igual o superior deacuerdo a los topes establecidos para el año en curso.</t>
  </si>
  <si>
    <r>
      <rPr>
        <sz val="10"/>
        <rFont val="Arial"/>
        <family val="0"/>
      </rPr>
      <t xml:space="preserve">Esta certificacion debe relacionar el nombre de la compañía, NIT, direccion y telefonos, nombre del empleado,numero de identificacion, cargo, salario basico, fecha de ingreso  a la compañía, nombre y cargo de la persona que firma el documento, ciudad y fecha de expedicion no debe superar los 30 Días.
</t>
    </r>
    <r>
      <rPr>
        <b/>
        <sz val="10"/>
        <rFont val="Arial"/>
        <family val="2"/>
      </rPr>
      <t>*  No aplica soporte para clientes tipo A en Zona Oriente- Occidente.</t>
    </r>
  </si>
  <si>
    <t>Ya tiene líneas pospago con servicio iPhone activo?</t>
  </si>
  <si>
    <t>Oriente, Occidente</t>
  </si>
  <si>
    <t>Plan Internet Movil</t>
  </si>
  <si>
    <t>Bogota</t>
  </si>
  <si>
    <t>Medelllin</t>
  </si>
  <si>
    <t>Seleccione a que zona pertenece:</t>
  </si>
  <si>
    <t>Enero_2013</t>
  </si>
  <si>
    <t>Febrero_2013</t>
  </si>
  <si>
    <t>Marzo_2013</t>
  </si>
  <si>
    <t>Abril_2013</t>
  </si>
  <si>
    <t>Mayo_2013</t>
  </si>
  <si>
    <t>Junio_2013</t>
  </si>
  <si>
    <t>Julio_2013</t>
  </si>
  <si>
    <t>Agosto_2013</t>
  </si>
  <si>
    <t>Septiembre_2013</t>
  </si>
  <si>
    <t>Octubre_2013</t>
  </si>
  <si>
    <t>Noviembre_2013</t>
  </si>
  <si>
    <t>Diciembre_2013</t>
  </si>
  <si>
    <t>Migración</t>
  </si>
  <si>
    <t>Valido del</t>
  </si>
  <si>
    <t>al</t>
  </si>
  <si>
    <t>C O N S U L T A    I N T E R A C T I V A - Persona Natural</t>
  </si>
  <si>
    <t>Si presenta contraseña como documento de identidad requiere Consulta Evidente</t>
  </si>
  <si>
    <t>$0 a $96.280</t>
  </si>
  <si>
    <t>$0 a $99.600</t>
  </si>
  <si>
    <t>$96.281 a $170.520</t>
  </si>
  <si>
    <t>$99.601 a $176.400</t>
  </si>
  <si>
    <t>Mas de $170.520</t>
  </si>
  <si>
    <t>Mas de $176.400</t>
  </si>
  <si>
    <t>C A L C U L A D O R A</t>
  </si>
  <si>
    <t xml:space="preserve">Tipo de transacción a liquidar </t>
  </si>
  <si>
    <t>Ventas</t>
  </si>
  <si>
    <t>V e n t a s</t>
  </si>
  <si>
    <t>Liquidacion multiple</t>
  </si>
  <si>
    <t>Tipo de reposición</t>
  </si>
  <si>
    <t>Liquidación</t>
  </si>
  <si>
    <t>ó</t>
  </si>
  <si>
    <t>Cant.</t>
  </si>
  <si>
    <t>Reposición voluntaria con WB</t>
  </si>
  <si>
    <t>Vr. Equipo</t>
  </si>
  <si>
    <t>Equipo Gratis</t>
  </si>
  <si>
    <t>Repo por Robo solo equipo</t>
  </si>
  <si>
    <t>Repo por Robo equipo y sim</t>
  </si>
  <si>
    <t>Vr. Sim</t>
  </si>
  <si>
    <t>Sim Gratis</t>
  </si>
  <si>
    <t>Vr. CFM</t>
  </si>
  <si>
    <t>CONCEPTO</t>
  </si>
  <si>
    <t>VALOR</t>
  </si>
  <si>
    <t>Equipo y Sim</t>
  </si>
  <si>
    <t>Calculos</t>
  </si>
  <si>
    <t>Cargo Basico</t>
  </si>
  <si>
    <t>Eq</t>
  </si>
  <si>
    <t>Iva</t>
  </si>
  <si>
    <t>CB</t>
  </si>
  <si>
    <t>TOTAL</t>
  </si>
  <si>
    <t>IVA</t>
  </si>
  <si>
    <t>To</t>
  </si>
  <si>
    <t>Pospago-Cesion</t>
  </si>
  <si>
    <t>Puede ofrecer: Sin estudio de crédito (NO APLICA PARA CESION)</t>
  </si>
  <si>
    <t>$0 a $83.000</t>
  </si>
  <si>
    <t>$83.001 a $147.000</t>
  </si>
  <si>
    <t>Mas de $147.001</t>
  </si>
  <si>
    <t xml:space="preserve"> </t>
  </si>
  <si>
    <t>Blackberry-Smartphone</t>
  </si>
  <si>
    <t>Se debe solicitar aval de Crédito a través del Módulo de Autorizaciones en Poliedro, cancelando los CFM requeridos en la autorización</t>
  </si>
  <si>
    <t>Si el estrato es es 1 o 2 solo aplica vender una línea en plan gama baja cerrado</t>
  </si>
  <si>
    <t>Puede ofrecer: Estrategia 3 - Solo aplica para una linea</t>
  </si>
  <si>
    <t>Online ó Diferido</t>
  </si>
  <si>
    <t>Aplica Sin soportes - Sin visita - Modulo Online - SIN consulta evidente - CON Movil traido - SOLO para planes según condiciones - SOLO con cedula ciudadania. Para los demás planes o con equipo de comcel seleccione la opción como Estrategia Prepago</t>
  </si>
  <si>
    <t>ERROR, iPhone N/A</t>
  </si>
  <si>
    <t>N10</t>
  </si>
  <si>
    <t>R e p o s i c i ó n   a    C u o t a s</t>
  </si>
  <si>
    <t>Smartphone</t>
  </si>
  <si>
    <t>Tablet</t>
  </si>
  <si>
    <t>Voz contado</t>
  </si>
  <si>
    <t xml:space="preserve">Netbook </t>
  </si>
  <si>
    <t>Otros</t>
  </si>
  <si>
    <t>Usuario compra equipo</t>
  </si>
  <si>
    <t>Tipo de equipo</t>
  </si>
  <si>
    <t>Sin Impuestos</t>
  </si>
  <si>
    <t>Con Impuestos</t>
  </si>
  <si>
    <t>Datos contado</t>
  </si>
  <si>
    <t>Voz a cuotas</t>
  </si>
  <si>
    <t>Datos a cuotas</t>
  </si>
  <si>
    <t>Activacion</t>
  </si>
  <si>
    <t>Impuesto Consumo 4%</t>
  </si>
  <si>
    <t>sim</t>
  </si>
  <si>
    <t>iva sim</t>
  </si>
  <si>
    <t>Iva Eq</t>
  </si>
  <si>
    <t>Debe cancelar seis (6) cargos fijos mensuales por anticipado, que serán aplicados en los meses 1, 3, 5, 7, 9 y 11</t>
  </si>
  <si>
    <t>Debe tener antigüedad minima de 6 meses y cancelar tres (3) cargos fijos mensuales por anticipado, que serán aplicados en los meses 1, 3 y 5. Si no tiene la antigüedad requerida debe adjuntar soportes de ingreso</t>
  </si>
  <si>
    <t>Debe tener una antigüedad  minima de 6 meses en TODAS las lineas. En caso contrario debe adjuntar soportes de ingreso</t>
  </si>
  <si>
    <t>Activar por poliedro como Producto: VOZ</t>
  </si>
  <si>
    <t>Activar por poliedro como Producto: Datos</t>
  </si>
  <si>
    <t>Activar por poliedro como Producto: Oficina Movil</t>
  </si>
  <si>
    <t>Rango del CFM (Sin Impuestos)</t>
  </si>
  <si>
    <t>Marcando el Check: Autorizacion Cartera. Y Si es una Cesion de Contrato se envia por el modulo TRADICIONAL</t>
  </si>
  <si>
    <t xml:space="preserve">Calificacion de credito </t>
  </si>
  <si>
    <t xml:space="preserve">Zona </t>
  </si>
  <si>
    <t>Debe realizar una consulta para ver los soportes</t>
  </si>
  <si>
    <t>La consulta realizada NO requiere soportes</t>
  </si>
  <si>
    <t>Bloqueo</t>
  </si>
  <si>
    <t>Error en la consulta, si no tiene líneas el comportamiento de pago debe ser sin hábito.</t>
  </si>
  <si>
    <r>
      <t xml:space="preserve">Cualquier duda o sugerencia comunicarse con: </t>
    </r>
    <r>
      <rPr>
        <sz val="8"/>
        <color indexed="30"/>
        <rFont val="Arial Unicode MS"/>
        <family val="2"/>
      </rPr>
      <t>Brayan.Rey.ext@claro.com.co</t>
    </r>
  </si>
  <si>
    <r>
      <t xml:space="preserve">Cualquier duda o sugerencia comunicarse con: </t>
    </r>
    <r>
      <rPr>
        <sz val="8"/>
        <color indexed="40"/>
        <rFont val="Arial Unicode MS"/>
        <family val="2"/>
      </rPr>
      <t>Brayan.Rey.ext@claro.com.co</t>
    </r>
  </si>
  <si>
    <t>Debe tener 3 (tres) facturas canceladas con el plan actual, de lo contrario SI requiere soportes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</si>
</sst>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"/>
    <numFmt numFmtId="195" formatCode="mmm\-yyyy"/>
  </numFmts>
  <fonts count="1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name val="Arial Narrow"/>
      <family val="2"/>
    </font>
    <font>
      <sz val="10"/>
      <name val="Verdana"/>
      <family val="2"/>
    </font>
    <font>
      <sz val="10"/>
      <color indexed="9"/>
      <name val="Arial"/>
      <family val="2"/>
    </font>
    <font>
      <b/>
      <i/>
      <sz val="10"/>
      <color indexed="12"/>
      <name val="Arial"/>
      <family val="2"/>
    </font>
    <font>
      <sz val="10"/>
      <name val="Arial Narrow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 Narrow"/>
      <family val="2"/>
    </font>
    <font>
      <sz val="9"/>
      <name val="Candara"/>
      <family val="2"/>
    </font>
    <font>
      <i/>
      <sz val="9"/>
      <name val="Candara"/>
      <family val="2"/>
    </font>
    <font>
      <b/>
      <sz val="10"/>
      <name val="Book Antiqua"/>
      <family val="1"/>
    </font>
    <font>
      <i/>
      <sz val="10"/>
      <color indexed="12"/>
      <name val="Arial Narrow"/>
      <family val="2"/>
    </font>
    <font>
      <sz val="8"/>
      <name val="Tahoma"/>
      <family val="2"/>
    </font>
    <font>
      <sz val="9"/>
      <name val="Arial Narrow"/>
      <family val="2"/>
    </font>
    <font>
      <sz val="8"/>
      <color indexed="22"/>
      <name val="Arial Unicode MS"/>
      <family val="2"/>
    </font>
    <font>
      <sz val="8"/>
      <name val="Arial Unicode MS"/>
      <family val="2"/>
    </font>
    <font>
      <b/>
      <sz val="10"/>
      <name val="Verdana"/>
      <family val="2"/>
    </font>
    <font>
      <sz val="10"/>
      <color indexed="23"/>
      <name val="Verdana"/>
      <family val="2"/>
    </font>
    <font>
      <b/>
      <i/>
      <sz val="11"/>
      <name val="Calibri"/>
      <family val="2"/>
    </font>
    <font>
      <sz val="8"/>
      <color indexed="30"/>
      <name val="Arial Unicode MS"/>
      <family val="2"/>
    </font>
    <font>
      <sz val="9"/>
      <name val="Calibri"/>
      <family val="2"/>
    </font>
    <font>
      <b/>
      <sz val="11"/>
      <name val="Calibri"/>
      <family val="2"/>
    </font>
    <font>
      <sz val="5"/>
      <name val="Arial"/>
      <family val="2"/>
    </font>
    <font>
      <sz val="5"/>
      <color indexed="63"/>
      <name val="Arial"/>
      <family val="2"/>
    </font>
    <font>
      <sz val="5"/>
      <color indexed="63"/>
      <name val="Arial Narrow"/>
      <family val="2"/>
    </font>
    <font>
      <sz val="5"/>
      <name val="Arial Narrow"/>
      <family val="2"/>
    </font>
    <font>
      <sz val="8"/>
      <name val="Arial Narrow"/>
      <family val="2"/>
    </font>
    <font>
      <b/>
      <sz val="5"/>
      <name val="Arial Narrow"/>
      <family val="2"/>
    </font>
    <font>
      <sz val="5"/>
      <color indexed="10"/>
      <name val="Arial Narrow"/>
      <family val="2"/>
    </font>
    <font>
      <sz val="5"/>
      <color indexed="8"/>
      <name val="Arial Narrow"/>
      <family val="2"/>
    </font>
    <font>
      <sz val="5"/>
      <color indexed="9"/>
      <name val="Arial Narrow"/>
      <family val="2"/>
    </font>
    <font>
      <sz val="5"/>
      <color indexed="23"/>
      <name val="Arial Narrow"/>
      <family val="2"/>
    </font>
    <font>
      <sz val="8"/>
      <color indexed="9"/>
      <name val="Arial"/>
      <family val="2"/>
    </font>
    <font>
      <sz val="10"/>
      <color indexed="23"/>
      <name val="Arial"/>
      <family val="2"/>
    </font>
    <font>
      <sz val="11"/>
      <color indexed="22"/>
      <name val="Cooper Black"/>
      <family val="1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8"/>
      <color indexed="23"/>
      <name val="Calibri"/>
      <family val="2"/>
    </font>
    <font>
      <b/>
      <sz val="8"/>
      <color indexed="23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b/>
      <i/>
      <sz val="8"/>
      <color indexed="23"/>
      <name val="Calibri"/>
      <family val="2"/>
    </font>
    <font>
      <sz val="5"/>
      <name val="Calibri"/>
      <family val="2"/>
    </font>
    <font>
      <sz val="5"/>
      <color indexed="23"/>
      <name val="Calibri"/>
      <family val="2"/>
    </font>
    <font>
      <sz val="10"/>
      <color indexed="60"/>
      <name val="Arial Narrow"/>
      <family val="2"/>
    </font>
    <font>
      <sz val="11"/>
      <color indexed="60"/>
      <name val="Arial Narrow"/>
      <family val="2"/>
    </font>
    <font>
      <b/>
      <sz val="12"/>
      <color indexed="1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6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ambria"/>
      <family val="1"/>
    </font>
    <font>
      <b/>
      <sz val="5"/>
      <color indexed="9"/>
      <name val="Arial Narrow"/>
      <family val="2"/>
    </font>
    <font>
      <b/>
      <i/>
      <sz val="11"/>
      <color indexed="9"/>
      <name val="Cambria"/>
      <family val="1"/>
    </font>
    <font>
      <b/>
      <sz val="9"/>
      <color indexed="60"/>
      <name val="Arial"/>
      <family val="2"/>
    </font>
    <font>
      <b/>
      <u val="single"/>
      <sz val="14"/>
      <color indexed="60"/>
      <name val="Arial Narrow"/>
      <family val="2"/>
    </font>
    <font>
      <b/>
      <sz val="11"/>
      <color indexed="60"/>
      <name val="Arial"/>
      <family val="2"/>
    </font>
    <font>
      <b/>
      <i/>
      <sz val="11"/>
      <color indexed="60"/>
      <name val="Arial"/>
      <family val="2"/>
    </font>
    <font>
      <b/>
      <i/>
      <sz val="9"/>
      <color indexed="23"/>
      <name val="Arial"/>
      <family val="2"/>
    </font>
    <font>
      <b/>
      <sz val="14"/>
      <name val="Calibri"/>
      <family val="2"/>
    </font>
    <font>
      <sz val="10"/>
      <color indexed="23"/>
      <name val="Arial Unicode MS"/>
      <family val="2"/>
    </font>
    <font>
      <sz val="12"/>
      <color indexed="9"/>
      <name val="Arial Black"/>
      <family val="2"/>
    </font>
    <font>
      <sz val="10"/>
      <color indexed="60"/>
      <name val="Verdana"/>
      <family val="2"/>
    </font>
    <font>
      <sz val="14"/>
      <color indexed="9"/>
      <name val="Arial Rounded MT Bold"/>
      <family val="2"/>
    </font>
    <font>
      <sz val="9"/>
      <color indexed="23"/>
      <name val="Verdana"/>
      <family val="2"/>
    </font>
    <font>
      <b/>
      <sz val="9"/>
      <name val="Tahoma"/>
      <family val="2"/>
    </font>
    <font>
      <sz val="11"/>
      <color indexed="8"/>
      <name val="Castellar"/>
      <family val="1"/>
    </font>
    <font>
      <sz val="11"/>
      <color indexed="8"/>
      <name val="Cambria"/>
      <family val="1"/>
    </font>
    <font>
      <sz val="11"/>
      <color indexed="8"/>
      <name val="Verdana"/>
      <family val="2"/>
    </font>
    <font>
      <sz val="11"/>
      <color indexed="8"/>
      <name val="Broadway"/>
      <family val="5"/>
    </font>
    <font>
      <sz val="12"/>
      <color indexed="8"/>
      <name val="Cambria"/>
      <family val="1"/>
    </font>
    <font>
      <sz val="11"/>
      <name val="Verdana"/>
      <family val="2"/>
    </font>
    <font>
      <sz val="11"/>
      <color indexed="9"/>
      <name val="Fixedsys"/>
      <family val="3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 Black"/>
      <family val="2"/>
    </font>
    <font>
      <sz val="8"/>
      <color indexed="55"/>
      <name val="Arial Unicode MS"/>
      <family val="2"/>
    </font>
    <font>
      <sz val="9"/>
      <color indexed="10"/>
      <name val="Arial Narrow"/>
      <family val="2"/>
    </font>
    <font>
      <sz val="8"/>
      <color indexed="23"/>
      <name val="Arial"/>
      <family val="2"/>
    </font>
    <font>
      <sz val="8"/>
      <color indexed="60"/>
      <name val="Arial"/>
      <family val="2"/>
    </font>
    <font>
      <b/>
      <sz val="11"/>
      <color indexed="9"/>
      <name val="Cambria"/>
      <family val="1"/>
    </font>
    <font>
      <sz val="11"/>
      <color indexed="9"/>
      <name val="Castellar"/>
      <family val="1"/>
    </font>
    <font>
      <sz val="11"/>
      <color indexed="60"/>
      <name val="Cambria"/>
      <family val="1"/>
    </font>
    <font>
      <sz val="11"/>
      <color indexed="63"/>
      <name val="Broadway"/>
      <family val="5"/>
    </font>
    <font>
      <sz val="12"/>
      <color indexed="60"/>
      <name val="Cambria"/>
      <family val="1"/>
    </font>
    <font>
      <sz val="11"/>
      <color indexed="63"/>
      <name val="Cambria"/>
      <family val="1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Arial Narrow"/>
      <family val="2"/>
    </font>
    <font>
      <sz val="8"/>
      <color indexed="40"/>
      <name val="Arial Unicode MS"/>
      <family val="2"/>
    </font>
    <font>
      <sz val="8"/>
      <color indexed="30"/>
      <name val="Arial"/>
      <family val="2"/>
    </font>
    <font>
      <sz val="8"/>
      <color indexed="9"/>
      <name val="Arial Narrow"/>
      <family val="2"/>
    </font>
    <font>
      <b/>
      <i/>
      <sz val="11"/>
      <color indexed="23"/>
      <name val="Calibri"/>
      <family val="2"/>
    </font>
    <font>
      <sz val="10"/>
      <color indexed="9"/>
      <name val="Verdana"/>
      <family val="2"/>
    </font>
    <font>
      <b/>
      <sz val="12"/>
      <color indexed="23"/>
      <name val="Arial"/>
      <family val="2"/>
    </font>
    <font>
      <b/>
      <i/>
      <sz val="10"/>
      <color indexed="60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sz val="10"/>
      <name val="Geneva"/>
      <family val="0"/>
    </font>
    <font>
      <b/>
      <sz val="9"/>
      <color indexed="22"/>
      <name val="Arial Narrow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9"/>
        <bgColor indexed="10"/>
      </patternFill>
    </fill>
    <fill>
      <patternFill patternType="solid">
        <fgColor indexed="9"/>
        <bgColor indexed="64"/>
      </patternFill>
    </fill>
    <fill>
      <patternFill patternType="lightUp">
        <fgColor indexed="55"/>
        <bgColor indexed="22"/>
      </patternFill>
    </fill>
    <fill>
      <patternFill patternType="solid">
        <fgColor indexed="60"/>
        <bgColor indexed="64"/>
      </patternFill>
    </fill>
    <fill>
      <patternFill patternType="lightDown">
        <fgColor indexed="22"/>
        <bgColor indexed="22"/>
      </patternFill>
    </fill>
    <fill>
      <patternFill patternType="lightDown">
        <fgColor indexed="9"/>
        <bgColor indexed="9"/>
      </patternFill>
    </fill>
    <fill>
      <patternFill patternType="solid">
        <fgColor indexed="60"/>
        <bgColor indexed="64"/>
      </patternFill>
    </fill>
    <fill>
      <patternFill patternType="lightDown">
        <fgColor indexed="52"/>
        <bgColor indexed="47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hair"/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hair"/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/>
    </border>
    <border>
      <left>
        <color indexed="63"/>
      </left>
      <right style="thin">
        <color indexed="16"/>
      </right>
      <top style="hair"/>
      <bottom style="hair"/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60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16"/>
      </top>
      <bottom style="thin">
        <color indexed="22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16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60"/>
      </bottom>
    </border>
    <border>
      <left>
        <color indexed="63"/>
      </left>
      <right style="thin">
        <color indexed="23"/>
      </right>
      <top style="thin">
        <color indexed="60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16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hair">
        <color indexed="23"/>
      </left>
      <right>
        <color indexed="63"/>
      </right>
      <top style="thin">
        <color indexed="60"/>
      </top>
      <bottom style="thin">
        <color indexed="23"/>
      </bottom>
    </border>
    <border>
      <left style="thin">
        <color indexed="16"/>
      </left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9"/>
      </top>
      <bottom style="medium">
        <color indexed="8"/>
      </bottom>
    </border>
    <border>
      <left style="thin">
        <color indexed="43"/>
      </left>
      <right>
        <color indexed="63"/>
      </right>
      <top style="thin">
        <color indexed="4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43"/>
      </top>
      <bottom style="medium">
        <color indexed="8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2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medium">
        <color indexed="16"/>
      </right>
      <top style="thin"/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hair">
        <color indexed="23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60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hair">
        <color indexed="23"/>
      </left>
      <right>
        <color indexed="63"/>
      </right>
      <top style="thin">
        <color indexed="60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60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16"/>
      </bottom>
    </border>
    <border>
      <left>
        <color indexed="63"/>
      </left>
      <right style="medium">
        <color indexed="16"/>
      </right>
      <top style="thin">
        <color indexed="55"/>
      </top>
      <bottom style="medium">
        <color indexed="16"/>
      </bottom>
    </border>
    <border>
      <left style="thin">
        <color indexed="16"/>
      </left>
      <right style="thin"/>
      <top style="thin">
        <color indexed="16"/>
      </top>
      <bottom style="thin">
        <color indexed="22"/>
      </bottom>
    </border>
    <border>
      <left style="thin"/>
      <right style="thin"/>
      <top style="thin">
        <color indexed="16"/>
      </top>
      <bottom style="thin">
        <color indexed="22"/>
      </bottom>
    </border>
    <border>
      <left style="thin"/>
      <right style="thin">
        <color indexed="22"/>
      </right>
      <top style="thin">
        <color indexed="16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9"/>
      </top>
      <bottom style="medium">
        <color indexed="63"/>
      </bottom>
    </border>
    <border>
      <left style="hair">
        <color indexed="23"/>
      </left>
      <right style="thin"/>
      <top>
        <color indexed="63"/>
      </top>
      <bottom style="hair">
        <color indexed="23"/>
      </bottom>
    </border>
    <border>
      <left style="thin"/>
      <right style="thin">
        <color indexed="16"/>
      </right>
      <top>
        <color indexed="63"/>
      </top>
      <bottom style="hair">
        <color indexed="23"/>
      </bottom>
    </border>
    <border>
      <left style="thin">
        <color indexed="55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16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/>
      <top>
        <color indexed="63"/>
      </top>
      <bottom style="hair">
        <color indexed="23"/>
      </bottom>
    </border>
    <border>
      <left style="thin"/>
      <right style="thin">
        <color indexed="23"/>
      </right>
      <top>
        <color indexed="63"/>
      </top>
      <bottom style="hair">
        <color indexed="2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28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9" fontId="0" fillId="0" borderId="0" applyFont="0" applyFill="0" applyBorder="0" applyAlignment="0" applyProtection="0"/>
    <xf numFmtId="0" fontId="20" fillId="16" borderId="8" applyNumberFormat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556">
    <xf numFmtId="0" fontId="0" fillId="0" borderId="0" xfId="0" applyAlignment="1">
      <alignment/>
    </xf>
    <xf numFmtId="3" fontId="0" fillId="0" borderId="0" xfId="0" applyNumberFormat="1" applyAlignment="1">
      <alignment horizontal="center" vertical="center" wrapText="1"/>
    </xf>
    <xf numFmtId="3" fontId="0" fillId="24" borderId="0" xfId="0" applyNumberFormat="1" applyFill="1" applyAlignment="1">
      <alignment horizontal="center" vertical="center" wrapText="1"/>
    </xf>
    <xf numFmtId="3" fontId="0" fillId="24" borderId="0" xfId="0" applyNumberFormat="1" applyFill="1" applyAlignment="1">
      <alignment horizontal="left" vertical="center" wrapText="1"/>
    </xf>
    <xf numFmtId="3" fontId="0" fillId="24" borderId="0" xfId="0" applyNumberFormat="1" applyFill="1" applyBorder="1" applyAlignment="1">
      <alignment horizontal="center" vertical="center" wrapText="1"/>
    </xf>
    <xf numFmtId="3" fontId="0" fillId="25" borderId="0" xfId="0" applyNumberForma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7" fillId="24" borderId="0" xfId="0" applyNumberFormat="1" applyFont="1" applyFill="1" applyAlignment="1">
      <alignment horizontal="center" vertical="center" wrapText="1"/>
    </xf>
    <xf numFmtId="3" fontId="0" fillId="24" borderId="0" xfId="0" applyNumberFormat="1" applyFill="1" applyAlignment="1" applyProtection="1">
      <alignment horizontal="center" vertical="center" wrapText="1"/>
      <protection locked="0"/>
    </xf>
    <xf numFmtId="3" fontId="0" fillId="24" borderId="0" xfId="0" applyNumberFormat="1" applyFont="1" applyFill="1" applyAlignment="1">
      <alignment horizontal="center" vertical="center" wrapText="1"/>
    </xf>
    <xf numFmtId="3" fontId="0" fillId="25" borderId="0" xfId="0" applyNumberFormat="1" applyFill="1" applyAlignment="1">
      <alignment vertical="center" wrapText="1"/>
    </xf>
    <xf numFmtId="3" fontId="10" fillId="25" borderId="0" xfId="0" applyNumberFormat="1" applyFont="1" applyFill="1" applyAlignment="1">
      <alignment horizontal="center" vertical="center" wrapText="1"/>
    </xf>
    <xf numFmtId="3" fontId="10" fillId="25" borderId="0" xfId="0" applyNumberFormat="1" applyFont="1" applyFill="1" applyAlignment="1">
      <alignment vertical="center" wrapText="1"/>
    </xf>
    <xf numFmtId="3" fontId="27" fillId="24" borderId="0" xfId="0" applyNumberFormat="1" applyFont="1" applyFill="1" applyAlignment="1">
      <alignment horizontal="center" vertical="center" wrapText="1"/>
    </xf>
    <xf numFmtId="3" fontId="27" fillId="24" borderId="0" xfId="0" applyNumberFormat="1" applyFont="1" applyFill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Border="1" applyAlignment="1">
      <alignment horizontal="center" wrapText="1"/>
    </xf>
    <xf numFmtId="3" fontId="0" fillId="24" borderId="0" xfId="0" applyNumberFormat="1" applyFill="1" applyBorder="1" applyAlignment="1">
      <alignment horizontal="center" wrapText="1"/>
    </xf>
    <xf numFmtId="194" fontId="6" fillId="2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24" borderId="0" xfId="0" applyNumberFormat="1" applyFont="1" applyFill="1" applyAlignment="1">
      <alignment horizontal="center" vertical="center" wrapText="1"/>
    </xf>
    <xf numFmtId="3" fontId="7" fillId="24" borderId="0" xfId="0" applyNumberFormat="1" applyFont="1" applyFill="1" applyAlignment="1">
      <alignment horizontal="center" vertical="center" wrapText="1"/>
    </xf>
    <xf numFmtId="3" fontId="29" fillId="24" borderId="0" xfId="0" applyNumberFormat="1" applyFont="1" applyFill="1" applyAlignment="1">
      <alignment horizontal="center" vertical="center" wrapText="1"/>
    </xf>
    <xf numFmtId="3" fontId="0" fillId="24" borderId="0" xfId="0" applyNumberFormat="1" applyFill="1" applyBorder="1" applyAlignment="1">
      <alignment horizontal="left" vertical="center" wrapText="1"/>
    </xf>
    <xf numFmtId="3" fontId="0" fillId="24" borderId="10" xfId="0" applyNumberForma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ill="1" applyBorder="1" applyAlignment="1">
      <alignment horizontal="center" vertical="center" wrapText="1"/>
    </xf>
    <xf numFmtId="3" fontId="0" fillId="24" borderId="12" xfId="0" applyNumberFormat="1" applyFill="1" applyBorder="1" applyAlignment="1">
      <alignment horizontal="center" vertical="center" wrapText="1"/>
    </xf>
    <xf numFmtId="3" fontId="7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27" fillId="24" borderId="0" xfId="0" applyNumberFormat="1" applyFont="1" applyFill="1" applyAlignment="1">
      <alignment horizontal="center" vertical="center" wrapText="1"/>
    </xf>
    <xf numFmtId="3" fontId="36" fillId="24" borderId="0" xfId="0" applyNumberFormat="1" applyFont="1" applyFill="1" applyAlignment="1">
      <alignment horizontal="left" vertical="center"/>
    </xf>
    <xf numFmtId="3" fontId="0" fillId="25" borderId="0" xfId="0" applyNumberFormat="1" applyFill="1" applyBorder="1" applyAlignment="1">
      <alignment horizontal="center" vertical="center" wrapText="1"/>
    </xf>
    <xf numFmtId="3" fontId="10" fillId="25" borderId="0" xfId="0" applyNumberFormat="1" applyFont="1" applyFill="1" applyBorder="1" applyAlignment="1">
      <alignment horizontal="center" vertical="center" wrapText="1"/>
    </xf>
    <xf numFmtId="3" fontId="27" fillId="24" borderId="12" xfId="0" applyNumberFormat="1" applyFont="1" applyFill="1" applyBorder="1" applyAlignment="1">
      <alignment horizontal="center" vertical="center" wrapText="1"/>
    </xf>
    <xf numFmtId="3" fontId="27" fillId="24" borderId="0" xfId="0" applyNumberFormat="1" applyFont="1" applyFill="1" applyAlignment="1">
      <alignment horizontal="center" vertical="center" wrapText="1"/>
    </xf>
    <xf numFmtId="3" fontId="10" fillId="24" borderId="13" xfId="0" applyNumberFormat="1" applyFont="1" applyFill="1" applyBorder="1" applyAlignment="1">
      <alignment horizontal="center" vertical="center" wrapText="1"/>
    </xf>
    <xf numFmtId="3" fontId="7" fillId="24" borderId="13" xfId="0" applyNumberFormat="1" applyFont="1" applyFill="1" applyBorder="1" applyAlignment="1">
      <alignment horizontal="center" vertical="center" wrapText="1"/>
    </xf>
    <xf numFmtId="3" fontId="4" fillId="24" borderId="13" xfId="0" applyNumberFormat="1" applyFont="1" applyFill="1" applyBorder="1" applyAlignment="1">
      <alignment horizontal="center" vertical="center" textRotation="90" wrapText="1"/>
    </xf>
    <xf numFmtId="3" fontId="27" fillId="24" borderId="13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  <xf numFmtId="3" fontId="7" fillId="24" borderId="14" xfId="0" applyNumberFormat="1" applyFont="1" applyFill="1" applyBorder="1" applyAlignment="1">
      <alignment horizontal="center" vertical="center" wrapText="1"/>
    </xf>
    <xf numFmtId="3" fontId="0" fillId="24" borderId="14" xfId="0" applyNumberFormat="1" applyFill="1" applyBorder="1" applyAlignment="1">
      <alignment horizontal="center" vertical="center" wrapText="1"/>
    </xf>
    <xf numFmtId="3" fontId="58" fillId="16" borderId="15" xfId="0" applyNumberFormat="1" applyFont="1" applyFill="1" applyBorder="1" applyAlignment="1">
      <alignment horizontal="center" vertical="center" wrapText="1"/>
    </xf>
    <xf numFmtId="3" fontId="58" fillId="16" borderId="16" xfId="0" applyNumberFormat="1" applyFont="1" applyFill="1" applyBorder="1" applyAlignment="1">
      <alignment horizontal="center" vertical="center" wrapText="1"/>
    </xf>
    <xf numFmtId="3" fontId="58" fillId="16" borderId="17" xfId="0" applyNumberFormat="1" applyFont="1" applyFill="1" applyBorder="1" applyAlignment="1">
      <alignment horizontal="center" vertical="center" wrapText="1"/>
    </xf>
    <xf numFmtId="3" fontId="10" fillId="17" borderId="18" xfId="0" applyNumberFormat="1" applyFont="1" applyFill="1" applyBorder="1" applyAlignment="1">
      <alignment horizontal="center" vertical="center" wrapText="1"/>
    </xf>
    <xf numFmtId="3" fontId="10" fillId="17" borderId="19" xfId="0" applyNumberFormat="1" applyFont="1" applyFill="1" applyBorder="1" applyAlignment="1">
      <alignment horizontal="center" vertical="center" wrapText="1"/>
    </xf>
    <xf numFmtId="3" fontId="10" fillId="17" borderId="20" xfId="0" applyNumberFormat="1" applyFont="1" applyFill="1" applyBorder="1" applyAlignment="1">
      <alignment horizontal="center" vertical="center" wrapText="1"/>
    </xf>
    <xf numFmtId="0" fontId="59" fillId="25" borderId="0" xfId="0" applyFont="1" applyFill="1" applyAlignment="1">
      <alignment textRotation="90"/>
    </xf>
    <xf numFmtId="3" fontId="60" fillId="24" borderId="0" xfId="0" applyNumberFormat="1" applyFont="1" applyFill="1" applyAlignment="1">
      <alignment horizontal="center" vertical="center" wrapText="1"/>
    </xf>
    <xf numFmtId="3" fontId="61" fillId="24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1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3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8" xfId="0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>
      <alignment horizontal="center" vertical="center" wrapText="1"/>
    </xf>
    <xf numFmtId="3" fontId="58" fillId="25" borderId="0" xfId="0" applyNumberFormat="1" applyFont="1" applyFill="1" applyAlignment="1">
      <alignment horizontal="center" vertical="center" wrapText="1"/>
    </xf>
    <xf numFmtId="3" fontId="7" fillId="24" borderId="13" xfId="0" applyNumberFormat="1" applyFont="1" applyFill="1" applyBorder="1" applyAlignment="1">
      <alignment horizontal="center" vertical="center" wrapText="1"/>
    </xf>
    <xf numFmtId="3" fontId="10" fillId="24" borderId="0" xfId="0" applyNumberFormat="1" applyFont="1" applyFill="1" applyAlignment="1">
      <alignment horizontal="center" vertical="center" wrapText="1"/>
    </xf>
    <xf numFmtId="3" fontId="62" fillId="0" borderId="0" xfId="0" applyNumberFormat="1" applyFont="1" applyFill="1" applyAlignment="1">
      <alignment horizontal="center" vertical="center" wrapText="1"/>
    </xf>
    <xf numFmtId="3" fontId="63" fillId="25" borderId="0" xfId="0" applyNumberFormat="1" applyFont="1" applyFill="1" applyAlignment="1">
      <alignment horizontal="center" vertical="center" wrapText="1"/>
    </xf>
    <xf numFmtId="3" fontId="64" fillId="25" borderId="0" xfId="0" applyNumberFormat="1" applyFont="1" applyFill="1" applyBorder="1" applyAlignment="1">
      <alignment horizontal="center" vertical="center" wrapText="1"/>
    </xf>
    <xf numFmtId="3" fontId="63" fillId="25" borderId="0" xfId="0" applyNumberFormat="1" applyFont="1" applyFill="1" applyBorder="1" applyAlignment="1">
      <alignment horizontal="center" vertical="center" wrapText="1"/>
    </xf>
    <xf numFmtId="3" fontId="63" fillId="25" borderId="0" xfId="0" applyNumberFormat="1" applyFont="1" applyFill="1" applyBorder="1" applyAlignment="1">
      <alignment horizontal="center" vertical="center" textRotation="90" wrapText="1"/>
    </xf>
    <xf numFmtId="3" fontId="63" fillId="25" borderId="0" xfId="0" applyNumberFormat="1" applyFont="1" applyFill="1" applyBorder="1" applyAlignment="1">
      <alignment horizontal="center" vertical="center" wrapText="1"/>
    </xf>
    <xf numFmtId="3" fontId="65" fillId="25" borderId="0" xfId="0" applyNumberFormat="1" applyFont="1" applyFill="1" applyAlignment="1">
      <alignment horizontal="center" vertical="center" wrapText="1"/>
    </xf>
    <xf numFmtId="3" fontId="66" fillId="25" borderId="0" xfId="0" applyNumberFormat="1" applyFont="1" applyFill="1" applyAlignment="1">
      <alignment horizontal="center" vertical="center" wrapText="1"/>
    </xf>
    <xf numFmtId="3" fontId="63" fillId="25" borderId="30" xfId="0" applyNumberFormat="1" applyFont="1" applyFill="1" applyBorder="1" applyAlignment="1">
      <alignment horizontal="center" vertical="center" wrapText="1"/>
    </xf>
    <xf numFmtId="3" fontId="67" fillId="25" borderId="0" xfId="0" applyNumberFormat="1" applyFont="1" applyFill="1" applyAlignment="1">
      <alignment horizontal="left" vertical="center" wrapText="1" indent="1"/>
    </xf>
    <xf numFmtId="3" fontId="63" fillId="25" borderId="0" xfId="0" applyNumberFormat="1" applyFont="1" applyFill="1" applyAlignment="1">
      <alignment vertical="center" wrapText="1"/>
    </xf>
    <xf numFmtId="3" fontId="64" fillId="24" borderId="0" xfId="0" applyNumberFormat="1" applyFont="1" applyFill="1" applyBorder="1" applyAlignment="1">
      <alignment horizontal="center" vertical="center" wrapText="1"/>
    </xf>
    <xf numFmtId="3" fontId="63" fillId="24" borderId="0" xfId="0" applyNumberFormat="1" applyFont="1" applyFill="1" applyBorder="1" applyAlignment="1">
      <alignment horizontal="left" vertical="center" wrapText="1"/>
    </xf>
    <xf numFmtId="194" fontId="64" fillId="24" borderId="0" xfId="0" applyNumberFormat="1" applyFont="1" applyFill="1" applyBorder="1" applyAlignment="1">
      <alignment horizontal="left" vertical="center" wrapText="1"/>
    </xf>
    <xf numFmtId="3" fontId="63" fillId="24" borderId="0" xfId="0" applyNumberFormat="1" applyFont="1" applyFill="1" applyAlignment="1">
      <alignment horizontal="center" vertical="center" wrapText="1"/>
    </xf>
    <xf numFmtId="3" fontId="68" fillId="0" borderId="0" xfId="0" applyNumberFormat="1" applyFont="1" applyFill="1" applyAlignment="1">
      <alignment horizontal="center" vertical="center" wrapText="1"/>
    </xf>
    <xf numFmtId="3" fontId="47" fillId="24" borderId="0" xfId="0" applyNumberFormat="1" applyFont="1" applyFill="1" applyAlignment="1">
      <alignment horizontal="center" vertical="center" wrapText="1"/>
    </xf>
    <xf numFmtId="3" fontId="48" fillId="24" borderId="0" xfId="0" applyNumberFormat="1" applyFont="1" applyFill="1" applyAlignment="1">
      <alignment horizontal="center" vertical="center" wrapText="1"/>
    </xf>
    <xf numFmtId="3" fontId="69" fillId="24" borderId="0" xfId="0" applyNumberFormat="1" applyFont="1" applyFill="1" applyAlignment="1">
      <alignment horizontal="center" vertical="center" wrapText="1"/>
    </xf>
    <xf numFmtId="3" fontId="47" fillId="0" borderId="0" xfId="0" applyNumberFormat="1" applyFont="1" applyFill="1" applyAlignment="1">
      <alignment horizontal="center" vertical="center" wrapText="1"/>
    </xf>
    <xf numFmtId="3" fontId="49" fillId="0" borderId="0" xfId="0" applyNumberFormat="1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center"/>
    </xf>
    <xf numFmtId="14" fontId="50" fillId="0" borderId="0" xfId="0" applyNumberFormat="1" applyFont="1" applyFill="1" applyAlignment="1">
      <alignment horizontal="center" vertical="center" wrapText="1"/>
    </xf>
    <xf numFmtId="3" fontId="51" fillId="0" borderId="0" xfId="0" applyNumberFormat="1" applyFont="1" applyFill="1" applyAlignment="1">
      <alignment horizontal="center" vertical="center" wrapText="1"/>
    </xf>
    <xf numFmtId="3" fontId="50" fillId="25" borderId="0" xfId="0" applyNumberFormat="1" applyFont="1" applyFill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3" fontId="50" fillId="25" borderId="0" xfId="0" applyNumberFormat="1" applyFont="1" applyFill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3" fontId="50" fillId="0" borderId="31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Fill="1" applyAlignment="1">
      <alignment horizontal="center" vertical="center" wrapText="1"/>
    </xf>
    <xf numFmtId="3" fontId="52" fillId="0" borderId="32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 wrapText="1"/>
    </xf>
    <xf numFmtId="3" fontId="52" fillId="0" borderId="33" xfId="0" applyNumberFormat="1" applyFont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3" fontId="52" fillId="0" borderId="33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/>
    </xf>
    <xf numFmtId="3" fontId="50" fillId="0" borderId="32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3" fontId="50" fillId="0" borderId="33" xfId="0" applyNumberFormat="1" applyFont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3" fontId="50" fillId="16" borderId="31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53" fillId="0" borderId="33" xfId="0" applyNumberFormat="1" applyFont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3" fontId="53" fillId="0" borderId="33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textRotation="90" wrapText="1"/>
    </xf>
    <xf numFmtId="3" fontId="50" fillId="26" borderId="31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Border="1" applyAlignment="1">
      <alignment horizontal="center" vertical="center" wrapText="1"/>
    </xf>
    <xf numFmtId="3" fontId="50" fillId="0" borderId="35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50" fillId="0" borderId="35" xfId="0" applyNumberFormat="1" applyFont="1" applyFill="1" applyBorder="1" applyAlignment="1">
      <alignment horizontal="center" vertical="center" wrapText="1"/>
    </xf>
    <xf numFmtId="3" fontId="50" fillId="0" borderId="36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vertical="center" wrapText="1"/>
    </xf>
    <xf numFmtId="3" fontId="50" fillId="0" borderId="31" xfId="0" applyNumberFormat="1" applyFont="1" applyBorder="1" applyAlignment="1">
      <alignment horizontal="center" vertical="center" wrapText="1"/>
    </xf>
    <xf numFmtId="3" fontId="50" fillId="0" borderId="0" xfId="0" applyNumberFormat="1" applyFont="1" applyFill="1" applyAlignment="1">
      <alignment horizontal="left" vertical="center"/>
    </xf>
    <xf numFmtId="0" fontId="54" fillId="0" borderId="0" xfId="0" applyFont="1" applyAlignment="1">
      <alignment/>
    </xf>
    <xf numFmtId="1" fontId="50" fillId="14" borderId="0" xfId="0" applyNumberFormat="1" applyFont="1" applyFill="1" applyAlignment="1">
      <alignment horizontal="center" vertical="center" wrapText="1"/>
    </xf>
    <xf numFmtId="3" fontId="52" fillId="0" borderId="0" xfId="0" applyNumberFormat="1" applyFont="1" applyFill="1" applyAlignment="1">
      <alignment horizontal="center" vertical="center" wrapText="1"/>
    </xf>
    <xf numFmtId="3" fontId="50" fillId="8" borderId="0" xfId="0" applyNumberFormat="1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left" vertical="center"/>
    </xf>
    <xf numFmtId="3" fontId="50" fillId="0" borderId="0" xfId="0" applyNumberFormat="1" applyFont="1" applyAlignment="1">
      <alignment horizontal="left" vertical="center" wrapText="1"/>
    </xf>
    <xf numFmtId="3" fontId="50" fillId="0" borderId="0" xfId="0" applyNumberFormat="1" applyFont="1" applyFill="1" applyAlignment="1">
      <alignment horizontal="left" vertical="center" wrapText="1"/>
    </xf>
    <xf numFmtId="3" fontId="53" fillId="8" borderId="0" xfId="0" applyNumberFormat="1" applyFont="1" applyFill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Alignment="1">
      <alignment horizontal="center" vertical="center" wrapText="1"/>
    </xf>
    <xf numFmtId="3" fontId="55" fillId="0" borderId="0" xfId="0" applyNumberFormat="1" applyFont="1" applyFill="1" applyAlignment="1">
      <alignment horizontal="center" vertical="center" wrapText="1"/>
    </xf>
    <xf numFmtId="3" fontId="56" fillId="0" borderId="0" xfId="0" applyNumberFormat="1" applyFont="1" applyFill="1" applyAlignment="1">
      <alignment horizontal="center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3" fontId="50" fillId="0" borderId="39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left" vertical="center"/>
    </xf>
    <xf numFmtId="3" fontId="53" fillId="0" borderId="32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3" fontId="50" fillId="24" borderId="0" xfId="0" applyNumberFormat="1" applyFont="1" applyFill="1" applyAlignment="1">
      <alignment horizontal="center" vertical="center" wrapText="1"/>
    </xf>
    <xf numFmtId="3" fontId="49" fillId="24" borderId="0" xfId="0" applyNumberFormat="1" applyFont="1" applyFill="1" applyAlignment="1">
      <alignment horizontal="center" vertical="center" wrapText="1"/>
    </xf>
    <xf numFmtId="3" fontId="56" fillId="24" borderId="0" xfId="0" applyNumberFormat="1" applyFont="1" applyFill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42" fillId="0" borderId="41" xfId="0" applyFont="1" applyBorder="1" applyAlignment="1" applyProtection="1">
      <alignment horizontal="center" vertical="center" wrapText="1"/>
      <protection locked="0"/>
    </xf>
    <xf numFmtId="3" fontId="27" fillId="24" borderId="4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0" fillId="24" borderId="43" xfId="0" applyNumberFormat="1" applyFill="1" applyBorder="1" applyAlignment="1">
      <alignment horizontal="center" vertical="center" wrapText="1"/>
    </xf>
    <xf numFmtId="3" fontId="0" fillId="24" borderId="43" xfId="0" applyNumberFormat="1" applyFill="1" applyBorder="1" applyAlignment="1" applyProtection="1">
      <alignment horizontal="center" vertical="center" wrapText="1"/>
      <protection locked="0"/>
    </xf>
    <xf numFmtId="3" fontId="0" fillId="0" borderId="43" xfId="0" applyNumberFormat="1" applyBorder="1" applyAlignment="1">
      <alignment horizontal="center" vertical="center" wrapText="1"/>
    </xf>
    <xf numFmtId="3" fontId="0" fillId="24" borderId="40" xfId="0" applyNumberFormat="1" applyFill="1" applyBorder="1" applyAlignment="1">
      <alignment horizontal="center" vertical="center" wrapText="1"/>
    </xf>
    <xf numFmtId="3" fontId="0" fillId="25" borderId="44" xfId="0" applyNumberFormat="1" applyFill="1" applyBorder="1" applyAlignment="1">
      <alignment horizontal="center" vertical="center" wrapText="1"/>
    </xf>
    <xf numFmtId="3" fontId="42" fillId="23" borderId="45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6" xfId="0" applyFill="1" applyBorder="1" applyAlignment="1">
      <alignment vertical="center" wrapText="1"/>
    </xf>
    <xf numFmtId="0" fontId="0" fillId="24" borderId="47" xfId="0" applyFill="1" applyBorder="1" applyAlignment="1">
      <alignment vertical="center" wrapText="1"/>
    </xf>
    <xf numFmtId="4" fontId="29" fillId="24" borderId="0" xfId="0" applyNumberFormat="1" applyFont="1" applyFill="1" applyAlignment="1">
      <alignment horizontal="center" vertical="center" wrapText="1"/>
    </xf>
    <xf numFmtId="3" fontId="50" fillId="11" borderId="37" xfId="0" applyNumberFormat="1" applyFont="1" applyFill="1" applyBorder="1" applyAlignment="1">
      <alignment horizontal="center" vertical="center" wrapText="1"/>
    </xf>
    <xf numFmtId="3" fontId="50" fillId="11" borderId="0" xfId="0" applyNumberFormat="1" applyFont="1" applyFill="1" applyBorder="1" applyAlignment="1">
      <alignment horizontal="center" vertical="center" wrapText="1"/>
    </xf>
    <xf numFmtId="3" fontId="30" fillId="24" borderId="0" xfId="0" applyNumberFormat="1" applyFont="1" applyFill="1" applyBorder="1" applyAlignment="1">
      <alignment horizontal="right" vertical="center" shrinkToFit="1"/>
    </xf>
    <xf numFmtId="3" fontId="30" fillId="24" borderId="0" xfId="0" applyNumberFormat="1" applyFont="1" applyFill="1" applyBorder="1" applyAlignment="1">
      <alignment horizontal="left" vertical="center" shrinkToFit="1"/>
    </xf>
    <xf numFmtId="14" fontId="14" fillId="25" borderId="0" xfId="0" applyNumberFormat="1" applyFont="1" applyFill="1" applyBorder="1" applyAlignment="1">
      <alignment horizontal="center" vertical="center" shrinkToFit="1"/>
    </xf>
    <xf numFmtId="3" fontId="50" fillId="11" borderId="32" xfId="0" applyNumberFormat="1" applyFont="1" applyFill="1" applyBorder="1" applyAlignment="1">
      <alignment horizontal="center" vertical="center" wrapText="1"/>
    </xf>
    <xf numFmtId="3" fontId="50" fillId="11" borderId="0" xfId="0" applyNumberFormat="1" applyFont="1" applyFill="1" applyAlignment="1">
      <alignment horizontal="center" vertical="center" wrapText="1"/>
    </xf>
    <xf numFmtId="4" fontId="50" fillId="0" borderId="48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Border="1" applyAlignment="1">
      <alignment horizontal="center" vertical="center" wrapText="1"/>
    </xf>
    <xf numFmtId="4" fontId="50" fillId="0" borderId="48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" fillId="24" borderId="0" xfId="60" applyNumberFormat="1" applyFill="1" applyAlignment="1">
      <alignment horizontal="center" vertical="center" wrapText="1"/>
      <protection/>
    </xf>
    <xf numFmtId="3" fontId="1" fillId="27" borderId="0" xfId="60" applyNumberFormat="1" applyFill="1" applyAlignment="1">
      <alignment horizontal="center" vertical="center" wrapText="1"/>
      <protection/>
    </xf>
    <xf numFmtId="3" fontId="1" fillId="0" borderId="0" xfId="60" applyNumberFormat="1" applyAlignment="1">
      <alignment horizontal="center" vertical="center" wrapText="1"/>
      <protection/>
    </xf>
    <xf numFmtId="3" fontId="1" fillId="0" borderId="0" xfId="60" applyNumberFormat="1" applyAlignment="1">
      <alignment horizontal="center" vertical="center"/>
      <protection/>
    </xf>
    <xf numFmtId="3" fontId="1" fillId="24" borderId="49" xfId="60" applyNumberFormat="1" applyFill="1" applyBorder="1" applyAlignment="1">
      <alignment horizontal="center" vertical="center" wrapText="1"/>
      <protection/>
    </xf>
    <xf numFmtId="3" fontId="92" fillId="24" borderId="0" xfId="60" applyNumberFormat="1" applyFont="1" applyFill="1" applyAlignment="1">
      <alignment horizontal="center" vertical="center" wrapText="1"/>
      <protection/>
    </xf>
    <xf numFmtId="3" fontId="1" fillId="0" borderId="0" xfId="60" applyNumberFormat="1" applyFont="1" applyAlignment="1">
      <alignment horizontal="center" vertical="center" wrapText="1"/>
      <protection/>
    </xf>
    <xf numFmtId="3" fontId="1" fillId="24" borderId="0" xfId="60" applyNumberFormat="1" applyFill="1" applyBorder="1" applyAlignment="1">
      <alignment horizontal="center" vertical="center" wrapText="1"/>
      <protection/>
    </xf>
    <xf numFmtId="3" fontId="11" fillId="24" borderId="0" xfId="60" applyNumberFormat="1" applyFont="1" applyFill="1" applyAlignment="1">
      <alignment horizontal="center" vertical="center" wrapText="1"/>
      <protection/>
    </xf>
    <xf numFmtId="3" fontId="95" fillId="24" borderId="0" xfId="60" applyNumberFormat="1" applyFont="1" applyFill="1" applyAlignment="1">
      <alignment horizontal="center" vertical="center" wrapText="1"/>
      <protection/>
    </xf>
    <xf numFmtId="3" fontId="11" fillId="24" borderId="0" xfId="60" applyNumberFormat="1" applyFont="1" applyFill="1" applyBorder="1" applyAlignment="1">
      <alignment horizontal="center" vertical="center" wrapText="1"/>
      <protection/>
    </xf>
    <xf numFmtId="3" fontId="98" fillId="19" borderId="0" xfId="60" applyNumberFormat="1" applyFont="1" applyFill="1" applyAlignment="1">
      <alignment horizontal="center" vertical="center" wrapText="1"/>
      <protection/>
    </xf>
    <xf numFmtId="3" fontId="11" fillId="24" borderId="0" xfId="60" applyNumberFormat="1" applyFont="1" applyFill="1" applyAlignment="1" applyProtection="1">
      <alignment horizontal="center" vertical="center" wrapText="1"/>
      <protection locked="0"/>
    </xf>
    <xf numFmtId="3" fontId="1" fillId="27" borderId="0" xfId="60" applyNumberFormat="1" applyFill="1" applyAlignment="1">
      <alignment horizontal="center" vertical="center"/>
      <protection/>
    </xf>
    <xf numFmtId="3" fontId="29" fillId="24" borderId="40" xfId="0" applyNumberFormat="1" applyFont="1" applyFill="1" applyBorder="1" applyAlignment="1">
      <alignment horizontal="center" vertical="center" wrapText="1"/>
    </xf>
    <xf numFmtId="3" fontId="104" fillId="24" borderId="0" xfId="0" applyNumberFormat="1" applyFont="1" applyFill="1" applyBorder="1" applyAlignment="1">
      <alignment horizontal="center" vertical="center" wrapText="1"/>
    </xf>
    <xf numFmtId="4" fontId="104" fillId="24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3" fontId="57" fillId="24" borderId="0" xfId="0" applyNumberFormat="1" applyFont="1" applyFill="1" applyAlignment="1">
      <alignment horizontal="center" vertical="center" wrapText="1"/>
    </xf>
    <xf numFmtId="3" fontId="58" fillId="23" borderId="41" xfId="0" applyNumberFormat="1" applyFont="1" applyFill="1" applyBorder="1" applyAlignment="1" applyProtection="1">
      <alignment horizontal="center" vertical="center" wrapText="1"/>
      <protection locked="0"/>
    </xf>
    <xf numFmtId="3" fontId="105" fillId="24" borderId="0" xfId="0" applyNumberFormat="1" applyFont="1" applyFill="1" applyAlignment="1">
      <alignment horizontal="center" vertical="center" wrapText="1"/>
    </xf>
    <xf numFmtId="3" fontId="50" fillId="2" borderId="0" xfId="0" applyNumberFormat="1" applyFont="1" applyFill="1" applyAlignment="1">
      <alignment horizontal="center" vertical="center" wrapText="1"/>
    </xf>
    <xf numFmtId="3" fontId="50" fillId="16" borderId="0" xfId="0" applyNumberFormat="1" applyFont="1" applyFill="1" applyAlignment="1">
      <alignment horizontal="center" vertical="center" wrapText="1"/>
    </xf>
    <xf numFmtId="3" fontId="50" fillId="16" borderId="0" xfId="0" applyNumberFormat="1" applyFont="1" applyFill="1" applyAlignment="1">
      <alignment horizontal="center" vertical="center"/>
    </xf>
    <xf numFmtId="3" fontId="50" fillId="15" borderId="0" xfId="0" applyNumberFormat="1" applyFont="1" applyFill="1" applyAlignment="1">
      <alignment horizontal="center" vertical="center" wrapText="1"/>
    </xf>
    <xf numFmtId="3" fontId="8" fillId="25" borderId="0" xfId="0" applyNumberFormat="1" applyFont="1" applyFill="1" applyAlignment="1">
      <alignment wrapText="1"/>
    </xf>
    <xf numFmtId="3" fontId="0" fillId="25" borderId="50" xfId="0" applyNumberFormat="1" applyFill="1" applyBorder="1" applyAlignment="1">
      <alignment vertical="center" wrapText="1"/>
    </xf>
    <xf numFmtId="3" fontId="0" fillId="25" borderId="51" xfId="0" applyNumberFormat="1" applyFill="1" applyBorder="1" applyAlignment="1">
      <alignment vertical="center" wrapText="1"/>
    </xf>
    <xf numFmtId="3" fontId="74" fillId="24" borderId="0" xfId="0" applyNumberFormat="1" applyFont="1" applyFill="1" applyAlignment="1">
      <alignment horizontal="center" vertical="center" wrapText="1"/>
    </xf>
    <xf numFmtId="3" fontId="2" fillId="24" borderId="52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53" fillId="0" borderId="48" xfId="0" applyNumberFormat="1" applyFont="1" applyFill="1" applyBorder="1" applyAlignment="1">
      <alignment horizontal="center" vertical="center" wrapText="1"/>
    </xf>
    <xf numFmtId="3" fontId="53" fillId="11" borderId="48" xfId="0" applyNumberFormat="1" applyFont="1" applyFill="1" applyBorder="1" applyAlignment="1">
      <alignment horizontal="center" vertical="center" wrapText="1"/>
    </xf>
    <xf numFmtId="3" fontId="50" fillId="11" borderId="4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7" fillId="24" borderId="0" xfId="0" applyNumberFormat="1" applyFont="1" applyFill="1" applyAlignment="1">
      <alignment horizontal="center" vertical="center" wrapText="1"/>
    </xf>
    <xf numFmtId="3" fontId="1" fillId="24" borderId="53" xfId="60" applyNumberFormat="1" applyFill="1" applyBorder="1" applyAlignment="1">
      <alignment horizontal="center" vertical="center" wrapText="1"/>
      <protection/>
    </xf>
    <xf numFmtId="3" fontId="1" fillId="24" borderId="42" xfId="60" applyNumberFormat="1" applyFill="1" applyBorder="1" applyAlignment="1">
      <alignment horizontal="center" vertical="center" wrapText="1"/>
      <protection/>
    </xf>
    <xf numFmtId="3" fontId="1" fillId="24" borderId="54" xfId="60" applyNumberFormat="1" applyFill="1" applyBorder="1" applyAlignment="1" applyProtection="1">
      <alignment horizontal="center" vertical="center" wrapText="1"/>
      <protection locked="0"/>
    </xf>
    <xf numFmtId="3" fontId="1" fillId="24" borderId="50" xfId="60" applyNumberFormat="1" applyFill="1" applyBorder="1" applyAlignment="1">
      <alignment horizontal="center" vertical="center" wrapText="1"/>
      <protection/>
    </xf>
    <xf numFmtId="3" fontId="111" fillId="16" borderId="0" xfId="60" applyNumberFormat="1" applyFont="1" applyFill="1" applyAlignment="1">
      <alignment horizontal="center" vertical="center" wrapText="1"/>
      <protection/>
    </xf>
    <xf numFmtId="3" fontId="112" fillId="16" borderId="0" xfId="60" applyNumberFormat="1" applyFont="1" applyFill="1" applyAlignment="1">
      <alignment horizontal="center" vertical="center" wrapText="1"/>
      <protection/>
    </xf>
    <xf numFmtId="3" fontId="113" fillId="16" borderId="0" xfId="60" applyNumberFormat="1" applyFont="1" applyFill="1" applyAlignment="1">
      <alignment horizontal="center" vertical="center" wrapText="1"/>
      <protection/>
    </xf>
    <xf numFmtId="3" fontId="1" fillId="24" borderId="55" xfId="60" applyNumberFormat="1" applyFill="1" applyBorder="1" applyAlignment="1">
      <alignment horizontal="center" vertical="center" wrapText="1"/>
      <protection/>
    </xf>
    <xf numFmtId="3" fontId="1" fillId="24" borderId="56" xfId="60" applyNumberFormat="1" applyFill="1" applyBorder="1" applyAlignment="1" applyProtection="1">
      <alignment horizontal="center" vertical="center" wrapText="1"/>
      <protection locked="0"/>
    </xf>
    <xf numFmtId="3" fontId="1" fillId="24" borderId="40" xfId="60" applyNumberFormat="1" applyFill="1" applyBorder="1" applyAlignment="1" applyProtection="1">
      <alignment horizontal="center" vertical="center" wrapText="1"/>
      <protection locked="0"/>
    </xf>
    <xf numFmtId="3" fontId="1" fillId="24" borderId="57" xfId="60" applyNumberFormat="1" applyFont="1" applyFill="1" applyBorder="1" applyAlignment="1" applyProtection="1">
      <alignment horizontal="center" vertical="center" wrapText="1"/>
      <protection locked="0"/>
    </xf>
    <xf numFmtId="3" fontId="1" fillId="0" borderId="58" xfId="60" applyNumberFormat="1" applyBorder="1" applyAlignment="1">
      <alignment horizontal="center" vertical="center" wrapText="1"/>
      <protection/>
    </xf>
    <xf numFmtId="3" fontId="1" fillId="0" borderId="59" xfId="60" applyNumberFormat="1" applyBorder="1" applyAlignment="1">
      <alignment horizontal="center" vertical="center" wrapText="1"/>
      <protection/>
    </xf>
    <xf numFmtId="3" fontId="1" fillId="0" borderId="59" xfId="60" applyNumberFormat="1" applyBorder="1" applyAlignment="1">
      <alignment horizontal="center" vertical="center"/>
      <protection/>
    </xf>
    <xf numFmtId="3" fontId="1" fillId="0" borderId="60" xfId="60" applyNumberFormat="1" applyBorder="1" applyAlignment="1">
      <alignment horizontal="center" vertical="center" wrapText="1"/>
      <protection/>
    </xf>
    <xf numFmtId="3" fontId="1" fillId="0" borderId="21" xfId="60" applyNumberFormat="1" applyBorder="1" applyAlignment="1">
      <alignment horizontal="center" vertical="center" wrapText="1"/>
      <protection/>
    </xf>
    <xf numFmtId="3" fontId="1" fillId="0" borderId="22" xfId="60" applyNumberFormat="1" applyBorder="1" applyAlignment="1">
      <alignment horizontal="center" vertical="center" wrapText="1"/>
      <protection/>
    </xf>
    <xf numFmtId="3" fontId="1" fillId="0" borderId="23" xfId="60" applyNumberFormat="1" applyBorder="1" applyAlignment="1">
      <alignment horizontal="center" vertical="center" wrapText="1"/>
      <protection/>
    </xf>
    <xf numFmtId="3" fontId="1" fillId="0" borderId="61" xfId="60" applyNumberFormat="1" applyBorder="1" applyAlignment="1">
      <alignment horizontal="center" vertical="center" wrapText="1"/>
      <protection/>
    </xf>
    <xf numFmtId="3" fontId="1" fillId="0" borderId="0" xfId="60" applyNumberFormat="1" applyBorder="1" applyAlignment="1">
      <alignment horizontal="center" vertical="center" wrapText="1"/>
      <protection/>
    </xf>
    <xf numFmtId="3" fontId="1" fillId="0" borderId="0" xfId="60" applyNumberFormat="1" applyBorder="1" applyAlignment="1">
      <alignment horizontal="center" vertical="center"/>
      <protection/>
    </xf>
    <xf numFmtId="3" fontId="1" fillId="0" borderId="62" xfId="60" applyNumberFormat="1" applyBorder="1" applyAlignment="1">
      <alignment horizontal="center" vertical="center" wrapText="1"/>
      <protection/>
    </xf>
    <xf numFmtId="3" fontId="1" fillId="0" borderId="25" xfId="60" applyNumberFormat="1" applyBorder="1" applyAlignment="1">
      <alignment horizontal="center" vertical="center" wrapText="1"/>
      <protection/>
    </xf>
    <xf numFmtId="3" fontId="1" fillId="0" borderId="28" xfId="60" applyNumberFormat="1" applyBorder="1" applyAlignment="1">
      <alignment horizontal="center" vertical="center" wrapText="1"/>
      <protection/>
    </xf>
    <xf numFmtId="3" fontId="1" fillId="0" borderId="29" xfId="60" applyNumberFormat="1" applyBorder="1" applyAlignment="1">
      <alignment horizontal="center" vertical="center" wrapText="1"/>
      <protection/>
    </xf>
    <xf numFmtId="3" fontId="1" fillId="0" borderId="63" xfId="60" applyNumberFormat="1" applyBorder="1" applyAlignment="1">
      <alignment horizontal="center" vertical="center" wrapText="1"/>
      <protection/>
    </xf>
    <xf numFmtId="3" fontId="1" fillId="0" borderId="64" xfId="60" applyNumberFormat="1" applyBorder="1" applyAlignment="1">
      <alignment horizontal="center" vertical="center" wrapText="1"/>
      <protection/>
    </xf>
    <xf numFmtId="3" fontId="1" fillId="0" borderId="64" xfId="60" applyNumberFormat="1" applyBorder="1" applyAlignment="1">
      <alignment horizontal="center" vertical="center"/>
      <protection/>
    </xf>
    <xf numFmtId="3" fontId="1" fillId="0" borderId="65" xfId="60" applyNumberFormat="1" applyBorder="1" applyAlignment="1">
      <alignment horizontal="center" vertical="center" wrapText="1"/>
      <protection/>
    </xf>
    <xf numFmtId="3" fontId="1" fillId="0" borderId="60" xfId="60" applyNumberFormat="1" applyBorder="1" applyAlignment="1">
      <alignment horizontal="center" vertical="center"/>
      <protection/>
    </xf>
    <xf numFmtId="3" fontId="1" fillId="0" borderId="66" xfId="60" applyNumberFormat="1" applyBorder="1" applyAlignment="1">
      <alignment horizontal="center" vertical="center" wrapText="1"/>
      <protection/>
    </xf>
    <xf numFmtId="3" fontId="11" fillId="24" borderId="40" xfId="60" applyNumberFormat="1" applyFont="1" applyFill="1" applyBorder="1" applyAlignment="1">
      <alignment horizontal="center" vertical="center" wrapText="1"/>
      <protection/>
    </xf>
    <xf numFmtId="3" fontId="11" fillId="24" borderId="0" xfId="60" applyNumberFormat="1" applyFont="1" applyFill="1" applyAlignment="1">
      <alignment horizontal="center" vertical="center" wrapText="1"/>
      <protection/>
    </xf>
    <xf numFmtId="3" fontId="11" fillId="24" borderId="0" xfId="60" applyNumberFormat="1" applyFont="1" applyFill="1" applyBorder="1" applyAlignment="1">
      <alignment horizontal="center" vertical="center" wrapText="1"/>
      <protection/>
    </xf>
    <xf numFmtId="3" fontId="11" fillId="24" borderId="50" xfId="60" applyNumberFormat="1" applyFont="1" applyFill="1" applyBorder="1" applyAlignment="1">
      <alignment horizontal="center" vertical="center" wrapText="1"/>
      <protection/>
    </xf>
    <xf numFmtId="3" fontId="117" fillId="24" borderId="0" xfId="0" applyNumberFormat="1" applyFont="1" applyFill="1" applyAlignment="1">
      <alignment horizontal="center" vertical="center" wrapText="1"/>
    </xf>
    <xf numFmtId="3" fontId="117" fillId="24" borderId="0" xfId="0" applyNumberFormat="1" applyFont="1" applyFill="1" applyBorder="1" applyAlignment="1">
      <alignment horizontal="center" vertical="center" wrapText="1"/>
    </xf>
    <xf numFmtId="3" fontId="61" fillId="24" borderId="40" xfId="0" applyNumberFormat="1" applyFont="1" applyFill="1" applyBorder="1" applyAlignment="1">
      <alignment horizontal="center" vertical="center" wrapText="1"/>
    </xf>
    <xf numFmtId="3" fontId="50" fillId="28" borderId="0" xfId="0" applyNumberFormat="1" applyFont="1" applyFill="1" applyAlignment="1">
      <alignment horizontal="center" vertical="center" wrapText="1"/>
    </xf>
    <xf numFmtId="3" fontId="50" fillId="28" borderId="48" xfId="0" applyNumberFormat="1" applyFont="1" applyFill="1" applyBorder="1" applyAlignment="1">
      <alignment horizontal="center" vertical="center" wrapText="1"/>
    </xf>
    <xf numFmtId="3" fontId="0" fillId="25" borderId="67" xfId="0" applyNumberFormat="1" applyFill="1" applyBorder="1" applyAlignment="1">
      <alignment vertical="center" wrapText="1"/>
    </xf>
    <xf numFmtId="3" fontId="58" fillId="25" borderId="51" xfId="0" applyNumberFormat="1" applyFont="1" applyFill="1" applyBorder="1" applyAlignment="1">
      <alignment horizontal="center" vertical="center" wrapText="1"/>
    </xf>
    <xf numFmtId="3" fontId="57" fillId="24" borderId="0" xfId="0" applyNumberFormat="1" applyFont="1" applyFill="1" applyAlignment="1">
      <alignment horizontal="center" vertical="center" wrapText="1"/>
    </xf>
    <xf numFmtId="3" fontId="7" fillId="24" borderId="0" xfId="0" applyNumberFormat="1" applyFont="1" applyFill="1" applyAlignment="1">
      <alignment horizontal="center" vertical="center" wrapText="1"/>
    </xf>
    <xf numFmtId="3" fontId="57" fillId="24" borderId="68" xfId="0" applyNumberFormat="1" applyFont="1" applyFill="1" applyBorder="1" applyAlignment="1">
      <alignment horizontal="center" vertical="center" wrapText="1"/>
    </xf>
    <xf numFmtId="3" fontId="57" fillId="24" borderId="0" xfId="0" applyNumberFormat="1" applyFont="1" applyFill="1" applyBorder="1" applyAlignment="1">
      <alignment horizontal="center" vertical="center" wrapText="1"/>
    </xf>
    <xf numFmtId="3" fontId="57" fillId="24" borderId="69" xfId="0" applyNumberFormat="1" applyFont="1" applyFill="1" applyBorder="1" applyAlignment="1">
      <alignment horizontal="center" vertical="center" wrapText="1"/>
    </xf>
    <xf numFmtId="3" fontId="57" fillId="24" borderId="0" xfId="0" applyNumberFormat="1" applyFont="1" applyFill="1" applyAlignment="1" applyProtection="1">
      <alignment horizontal="center" vertical="center" wrapText="1"/>
      <protection/>
    </xf>
    <xf numFmtId="3" fontId="118" fillId="24" borderId="0" xfId="0" applyNumberFormat="1" applyFont="1" applyFill="1" applyAlignment="1">
      <alignment vertical="center" wrapText="1"/>
    </xf>
    <xf numFmtId="3" fontId="119" fillId="25" borderId="70" xfId="0" applyNumberFormat="1" applyFont="1" applyFill="1" applyBorder="1" applyAlignment="1">
      <alignment vertical="center" wrapText="1"/>
    </xf>
    <xf numFmtId="3" fontId="118" fillId="24" borderId="0" xfId="0" applyNumberFormat="1" applyFont="1" applyFill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3" fontId="120" fillId="24" borderId="0" xfId="0" applyNumberFormat="1" applyFont="1" applyFill="1" applyBorder="1" applyAlignment="1" applyProtection="1">
      <alignment horizontal="left" vertical="center" wrapText="1"/>
      <protection/>
    </xf>
    <xf numFmtId="3" fontId="129" fillId="24" borderId="0" xfId="0" applyNumberFormat="1" applyFont="1" applyFill="1" applyBorder="1" applyAlignment="1">
      <alignment vertical="center" wrapText="1"/>
    </xf>
    <xf numFmtId="3" fontId="130" fillId="24" borderId="0" xfId="0" applyNumberFormat="1" applyFont="1" applyFill="1" applyBorder="1" applyAlignment="1">
      <alignment horizontal="center" vertical="center" wrapText="1"/>
    </xf>
    <xf numFmtId="3" fontId="131" fillId="24" borderId="0" xfId="0" applyNumberFormat="1" applyFont="1" applyFill="1" applyAlignment="1">
      <alignment horizontal="center" vertical="center" wrapText="1"/>
    </xf>
    <xf numFmtId="3" fontId="129" fillId="24" borderId="0" xfId="0" applyNumberFormat="1" applyFont="1" applyFill="1" applyAlignment="1">
      <alignment horizontal="center" vertical="center" wrapText="1"/>
    </xf>
    <xf numFmtId="3" fontId="129" fillId="24" borderId="68" xfId="0" applyNumberFormat="1" applyFont="1" applyFill="1" applyBorder="1" applyAlignment="1">
      <alignment horizontal="center" vertical="center" wrapText="1"/>
    </xf>
    <xf numFmtId="3" fontId="129" fillId="24" borderId="0" xfId="0" applyNumberFormat="1" applyFont="1" applyFill="1" applyBorder="1" applyAlignment="1">
      <alignment horizontal="center" vertical="center" wrapText="1"/>
    </xf>
    <xf numFmtId="4" fontId="129" fillId="24" borderId="0" xfId="0" applyNumberFormat="1" applyFont="1" applyFill="1" applyAlignment="1">
      <alignment horizontal="center" vertical="center" wrapText="1"/>
    </xf>
    <xf numFmtId="3" fontId="129" fillId="24" borderId="0" xfId="0" applyNumberFormat="1" applyFont="1" applyFill="1" applyBorder="1" applyAlignment="1">
      <alignment horizontal="right" vertical="center" wrapText="1"/>
    </xf>
    <xf numFmtId="3" fontId="131" fillId="24" borderId="0" xfId="0" applyNumberFormat="1" applyFont="1" applyFill="1" applyAlignment="1">
      <alignment horizontal="right" vertical="center" wrapText="1"/>
    </xf>
    <xf numFmtId="3" fontId="132" fillId="24" borderId="0" xfId="60" applyNumberFormat="1" applyFont="1" applyFill="1" applyAlignment="1">
      <alignment horizontal="center" vertical="center" wrapText="1"/>
      <protection/>
    </xf>
    <xf numFmtId="3" fontId="132" fillId="24" borderId="40" xfId="60" applyNumberFormat="1" applyFont="1" applyFill="1" applyBorder="1" applyAlignment="1">
      <alignment horizontal="center" vertical="center" wrapText="1"/>
      <protection/>
    </xf>
    <xf numFmtId="3" fontId="132" fillId="24" borderId="71" xfId="60" applyNumberFormat="1" applyFont="1" applyFill="1" applyBorder="1" applyAlignment="1">
      <alignment horizontal="center" vertical="center" wrapText="1"/>
      <protection/>
    </xf>
    <xf numFmtId="3" fontId="1" fillId="29" borderId="0" xfId="60" applyNumberFormat="1" applyFill="1" applyAlignment="1">
      <alignment horizontal="center" vertical="center" wrapText="1"/>
      <protection/>
    </xf>
    <xf numFmtId="3" fontId="1" fillId="30" borderId="0" xfId="60" applyNumberFormat="1" applyFill="1" applyAlignment="1">
      <alignment horizontal="center" vertical="center" wrapText="1"/>
      <protection/>
    </xf>
    <xf numFmtId="3" fontId="1" fillId="27" borderId="72" xfId="60" applyNumberFormat="1" applyFill="1" applyBorder="1" applyAlignment="1">
      <alignment horizontal="center" vertical="center" wrapText="1"/>
      <protection/>
    </xf>
    <xf numFmtId="3" fontId="1" fillId="29" borderId="73" xfId="60" applyNumberFormat="1" applyFill="1" applyBorder="1" applyAlignment="1">
      <alignment horizontal="center" vertical="center" wrapText="1"/>
      <protection/>
    </xf>
    <xf numFmtId="3" fontId="1" fillId="27" borderId="74" xfId="60" applyNumberFormat="1" applyFill="1" applyBorder="1" applyAlignment="1">
      <alignment horizontal="center" vertical="center" wrapText="1"/>
      <protection/>
    </xf>
    <xf numFmtId="3" fontId="52" fillId="0" borderId="37" xfId="0" applyNumberFormat="1" applyFont="1" applyFill="1" applyBorder="1" applyAlignment="1">
      <alignment horizontal="center" vertical="center" textRotation="90" wrapText="1"/>
    </xf>
    <xf numFmtId="3" fontId="52" fillId="0" borderId="39" xfId="0" applyNumberFormat="1" applyFont="1" applyFill="1" applyBorder="1" applyAlignment="1">
      <alignment horizontal="center" vertical="center" textRotation="90" wrapText="1"/>
    </xf>
    <xf numFmtId="3" fontId="52" fillId="0" borderId="32" xfId="0" applyNumberFormat="1" applyFont="1" applyFill="1" applyBorder="1" applyAlignment="1">
      <alignment horizontal="center" vertical="center" textRotation="90" wrapText="1"/>
    </xf>
    <xf numFmtId="3" fontId="52" fillId="0" borderId="33" xfId="0" applyNumberFormat="1" applyFont="1" applyFill="1" applyBorder="1" applyAlignment="1">
      <alignment horizontal="center" vertical="center" textRotation="90" wrapText="1"/>
    </xf>
    <xf numFmtId="3" fontId="52" fillId="0" borderId="34" xfId="0" applyNumberFormat="1" applyFont="1" applyFill="1" applyBorder="1" applyAlignment="1">
      <alignment horizontal="center" vertical="center" textRotation="90" wrapText="1"/>
    </xf>
    <xf numFmtId="3" fontId="52" fillId="0" borderId="36" xfId="0" applyNumberFormat="1" applyFont="1" applyFill="1" applyBorder="1" applyAlignment="1">
      <alignment horizontal="center" vertical="center" textRotation="90" wrapText="1"/>
    </xf>
    <xf numFmtId="3" fontId="52" fillId="0" borderId="75" xfId="0" applyNumberFormat="1" applyFont="1" applyFill="1" applyBorder="1" applyAlignment="1">
      <alignment horizontal="center" vertical="center" textRotation="90" wrapText="1"/>
    </xf>
    <xf numFmtId="3" fontId="52" fillId="0" borderId="76" xfId="0" applyNumberFormat="1" applyFont="1" applyFill="1" applyBorder="1" applyAlignment="1">
      <alignment horizontal="center" vertical="center" textRotation="90" wrapText="1"/>
    </xf>
    <xf numFmtId="3" fontId="52" fillId="0" borderId="77" xfId="0" applyNumberFormat="1" applyFont="1" applyFill="1" applyBorder="1" applyAlignment="1">
      <alignment horizontal="center" vertical="center" textRotation="90" wrapText="1"/>
    </xf>
    <xf numFmtId="3" fontId="41" fillId="23" borderId="78" xfId="0" applyNumberFormat="1" applyFont="1" applyFill="1" applyBorder="1" applyAlignment="1" applyProtection="1">
      <alignment horizontal="center" vertical="center" wrapText="1"/>
      <protection locked="0"/>
    </xf>
    <xf numFmtId="3" fontId="41" fillId="23" borderId="50" xfId="0" applyNumberFormat="1" applyFont="1" applyFill="1" applyBorder="1" applyAlignment="1" applyProtection="1">
      <alignment horizontal="center" vertical="center" wrapText="1"/>
      <protection locked="0"/>
    </xf>
    <xf numFmtId="3" fontId="41" fillId="23" borderId="79" xfId="0" applyNumberFormat="1" applyFont="1" applyFill="1" applyBorder="1" applyAlignment="1" applyProtection="1">
      <alignment horizontal="center" vertical="center" wrapText="1"/>
      <protection locked="0"/>
    </xf>
    <xf numFmtId="3" fontId="74" fillId="16" borderId="80" xfId="0" applyNumberFormat="1" applyFont="1" applyFill="1" applyBorder="1" applyAlignment="1">
      <alignment horizontal="center" vertical="center" wrapText="1"/>
    </xf>
    <xf numFmtId="3" fontId="74" fillId="16" borderId="67" xfId="0" applyNumberFormat="1" applyFont="1" applyFill="1" applyBorder="1" applyAlignment="1">
      <alignment horizontal="center" vertical="center" wrapText="1"/>
    </xf>
    <xf numFmtId="3" fontId="74" fillId="16" borderId="81" xfId="0" applyNumberFormat="1" applyFont="1" applyFill="1" applyBorder="1" applyAlignment="1">
      <alignment horizontal="center" vertical="center" wrapText="1"/>
    </xf>
    <xf numFmtId="3" fontId="70" fillId="24" borderId="0" xfId="0" applyNumberFormat="1" applyFont="1" applyFill="1" applyBorder="1" applyAlignment="1">
      <alignment horizontal="left" vertical="center" wrapText="1"/>
    </xf>
    <xf numFmtId="3" fontId="70" fillId="24" borderId="82" xfId="0" applyNumberFormat="1" applyFont="1" applyFill="1" applyBorder="1" applyAlignment="1">
      <alignment horizontal="left" vertical="center" wrapText="1"/>
    </xf>
    <xf numFmtId="3" fontId="71" fillId="24" borderId="40" xfId="0" applyNumberFormat="1" applyFont="1" applyFill="1" applyBorder="1" applyAlignment="1">
      <alignment horizontal="center" vertical="center" wrapText="1"/>
    </xf>
    <xf numFmtId="3" fontId="71" fillId="24" borderId="0" xfId="0" applyNumberFormat="1" applyFont="1" applyFill="1" applyBorder="1" applyAlignment="1">
      <alignment horizontal="center" vertical="center" wrapText="1"/>
    </xf>
    <xf numFmtId="3" fontId="76" fillId="25" borderId="40" xfId="0" applyNumberFormat="1" applyFont="1" applyFill="1" applyBorder="1" applyAlignment="1">
      <alignment horizontal="left" vertical="center" wrapText="1"/>
    </xf>
    <xf numFmtId="3" fontId="76" fillId="25" borderId="0" xfId="0" applyNumberFormat="1" applyFont="1" applyFill="1" applyAlignment="1">
      <alignment horizontal="left" vertical="center" wrapText="1"/>
    </xf>
    <xf numFmtId="3" fontId="70" fillId="24" borderId="4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Alignment="1">
      <alignment horizontal="left" vertical="center" wrapText="1"/>
    </xf>
    <xf numFmtId="194" fontId="82" fillId="24" borderId="78" xfId="0" applyNumberFormat="1" applyFont="1" applyFill="1" applyBorder="1" applyAlignment="1">
      <alignment horizontal="center" vertical="center" wrapText="1"/>
    </xf>
    <xf numFmtId="194" fontId="82" fillId="24" borderId="50" xfId="0" applyNumberFormat="1" applyFont="1" applyFill="1" applyBorder="1" applyAlignment="1">
      <alignment horizontal="center" vertical="center" wrapText="1"/>
    </xf>
    <xf numFmtId="194" fontId="82" fillId="24" borderId="79" xfId="0" applyNumberFormat="1" applyFont="1" applyFill="1" applyBorder="1" applyAlignment="1">
      <alignment horizontal="center" vertical="center" wrapText="1"/>
    </xf>
    <xf numFmtId="3" fontId="0" fillId="25" borderId="0" xfId="0" applyNumberFormat="1" applyFill="1" applyBorder="1" applyAlignment="1">
      <alignment horizontal="center" vertical="center" wrapText="1"/>
    </xf>
    <xf numFmtId="3" fontId="0" fillId="25" borderId="0" xfId="0" applyNumberFormat="1" applyFill="1" applyAlignment="1">
      <alignment horizontal="center" vertical="center" wrapText="1"/>
    </xf>
    <xf numFmtId="3" fontId="75" fillId="0" borderId="80" xfId="0" applyNumberFormat="1" applyFont="1" applyBorder="1" applyAlignment="1">
      <alignment horizontal="left" vertical="center" wrapText="1"/>
    </xf>
    <xf numFmtId="3" fontId="75" fillId="0" borderId="67" xfId="0" applyNumberFormat="1" applyFont="1" applyBorder="1" applyAlignment="1">
      <alignment horizontal="left" vertical="center" wrapText="1"/>
    </xf>
    <xf numFmtId="3" fontId="75" fillId="0" borderId="81" xfId="0" applyNumberFormat="1" applyFont="1" applyBorder="1" applyAlignment="1">
      <alignment horizontal="left" vertical="center" wrapText="1"/>
    </xf>
    <xf numFmtId="3" fontId="78" fillId="12" borderId="0" xfId="0" applyNumberFormat="1" applyFont="1" applyFill="1" applyAlignment="1">
      <alignment horizontal="center" vertical="center" wrapText="1"/>
    </xf>
    <xf numFmtId="3" fontId="42" fillId="23" borderId="83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84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45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0" xfId="0" applyNumberFormat="1" applyFont="1" applyFill="1" applyBorder="1" applyAlignment="1">
      <alignment horizontal="center" vertical="center" textRotation="90" wrapText="1"/>
    </xf>
    <xf numFmtId="3" fontId="0" fillId="24" borderId="85" xfId="0" applyNumberFormat="1" applyFill="1" applyBorder="1" applyAlignment="1">
      <alignment horizontal="center" vertical="center" wrapText="1"/>
    </xf>
    <xf numFmtId="3" fontId="122" fillId="25" borderId="0" xfId="0" applyNumberFormat="1" applyFont="1" applyFill="1" applyAlignment="1">
      <alignment horizontal="left" vertical="center" wrapText="1" indent="1"/>
    </xf>
    <xf numFmtId="3" fontId="6" fillId="23" borderId="86" xfId="0" applyNumberFormat="1" applyFont="1" applyFill="1" applyBorder="1" applyAlignment="1" applyProtection="1">
      <alignment horizontal="center" vertical="center" wrapText="1"/>
      <protection locked="0"/>
    </xf>
    <xf numFmtId="3" fontId="6" fillId="23" borderId="54" xfId="0" applyNumberFormat="1" applyFont="1" applyFill="1" applyBorder="1" applyAlignment="1" applyProtection="1">
      <alignment horizontal="center" vertical="center" wrapText="1"/>
      <protection locked="0"/>
    </xf>
    <xf numFmtId="3" fontId="103" fillId="24" borderId="68" xfId="0" applyNumberFormat="1" applyFont="1" applyFill="1" applyBorder="1" applyAlignment="1">
      <alignment horizontal="center" vertical="center" wrapText="1"/>
    </xf>
    <xf numFmtId="3" fontId="103" fillId="24" borderId="0" xfId="0" applyNumberFormat="1" applyFont="1" applyFill="1" applyBorder="1" applyAlignment="1">
      <alignment horizontal="center" vertical="center" wrapText="1"/>
    </xf>
    <xf numFmtId="3" fontId="28" fillId="24" borderId="0" xfId="0" applyNumberFormat="1" applyFont="1" applyFill="1" applyBorder="1" applyAlignment="1">
      <alignment horizontal="center" vertical="center" wrapText="1"/>
    </xf>
    <xf numFmtId="3" fontId="106" fillId="31" borderId="87" xfId="0" applyNumberFormat="1" applyFont="1" applyFill="1" applyBorder="1" applyAlignment="1">
      <alignment horizontal="center" vertical="center" wrapText="1"/>
    </xf>
    <xf numFmtId="3" fontId="106" fillId="31" borderId="88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 horizontal="center" vertical="center" wrapText="1"/>
    </xf>
    <xf numFmtId="3" fontId="80" fillId="17" borderId="89" xfId="0" applyNumberFormat="1" applyFont="1" applyFill="1" applyBorder="1" applyAlignment="1">
      <alignment horizontal="center" vertical="center" textRotation="90" wrapText="1"/>
    </xf>
    <xf numFmtId="3" fontId="80" fillId="17" borderId="90" xfId="0" applyNumberFormat="1" applyFont="1" applyFill="1" applyBorder="1" applyAlignment="1">
      <alignment horizontal="center" vertical="center" textRotation="90" wrapText="1"/>
    </xf>
    <xf numFmtId="3" fontId="80" fillId="17" borderId="20" xfId="0" applyNumberFormat="1" applyFont="1" applyFill="1" applyBorder="1" applyAlignment="1">
      <alignment horizontal="center" vertical="center" textRotation="90" wrapText="1"/>
    </xf>
    <xf numFmtId="3" fontId="76" fillId="25" borderId="40" xfId="0" applyNumberFormat="1" applyFont="1" applyFill="1" applyBorder="1" applyAlignment="1">
      <alignment horizontal="left" vertical="center" wrapText="1"/>
    </xf>
    <xf numFmtId="3" fontId="76" fillId="25" borderId="0" xfId="0" applyNumberFormat="1" applyFont="1" applyFill="1" applyAlignment="1">
      <alignment horizontal="left" vertical="center" wrapText="1"/>
    </xf>
    <xf numFmtId="3" fontId="72" fillId="24" borderId="57" xfId="0" applyNumberFormat="1" applyFont="1" applyFill="1" applyBorder="1" applyAlignment="1">
      <alignment horizontal="center" vertical="center" wrapText="1"/>
    </xf>
    <xf numFmtId="3" fontId="72" fillId="24" borderId="51" xfId="0" applyNumberFormat="1" applyFont="1" applyFill="1" applyBorder="1" applyAlignment="1">
      <alignment horizontal="center" vertical="center" wrapText="1"/>
    </xf>
    <xf numFmtId="3" fontId="72" fillId="24" borderId="9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59" fillId="24" borderId="0" xfId="0" applyFont="1" applyFill="1" applyBorder="1" applyAlignment="1">
      <alignment horizontal="center"/>
    </xf>
    <xf numFmtId="0" fontId="59" fillId="24" borderId="13" xfId="0" applyFont="1" applyFill="1" applyBorder="1" applyAlignment="1">
      <alignment horizontal="center"/>
    </xf>
    <xf numFmtId="3" fontId="35" fillId="17" borderId="92" xfId="0" applyNumberFormat="1" applyFont="1" applyFill="1" applyBorder="1" applyAlignment="1">
      <alignment horizontal="center" vertical="center" wrapText="1"/>
    </xf>
    <xf numFmtId="3" fontId="35" fillId="17" borderId="93" xfId="0" applyNumberFormat="1" applyFont="1" applyFill="1" applyBorder="1" applyAlignment="1">
      <alignment horizontal="center" vertical="center" wrapText="1"/>
    </xf>
    <xf numFmtId="3" fontId="35" fillId="17" borderId="94" xfId="0" applyNumberFormat="1" applyFont="1" applyFill="1" applyBorder="1" applyAlignment="1">
      <alignment horizontal="center" vertical="center" wrapText="1"/>
    </xf>
    <xf numFmtId="3" fontId="35" fillId="17" borderId="95" xfId="0" applyNumberFormat="1" applyFont="1" applyFill="1" applyBorder="1" applyAlignment="1">
      <alignment horizontal="center" vertical="center" wrapText="1"/>
    </xf>
    <xf numFmtId="3" fontId="35" fillId="17" borderId="96" xfId="0" applyNumberFormat="1" applyFont="1" applyFill="1" applyBorder="1" applyAlignment="1">
      <alignment horizontal="center" vertical="center" wrapText="1"/>
    </xf>
    <xf numFmtId="3" fontId="35" fillId="17" borderId="97" xfId="0" applyNumberFormat="1" applyFont="1" applyFill="1" applyBorder="1" applyAlignment="1">
      <alignment horizontal="center" vertical="center" wrapText="1"/>
    </xf>
    <xf numFmtId="3" fontId="71" fillId="32" borderId="98" xfId="0" applyNumberFormat="1" applyFont="1" applyFill="1" applyBorder="1" applyAlignment="1">
      <alignment horizontal="center" vertical="center" wrapText="1"/>
    </xf>
    <xf numFmtId="3" fontId="71" fillId="32" borderId="99" xfId="0" applyNumberFormat="1" applyFont="1" applyFill="1" applyBorder="1" applyAlignment="1">
      <alignment horizontal="center" vertical="center" wrapText="1"/>
    </xf>
    <xf numFmtId="3" fontId="71" fillId="32" borderId="10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3" fontId="63" fillId="25" borderId="0" xfId="0" applyNumberFormat="1" applyFont="1" applyFill="1" applyBorder="1" applyAlignment="1">
      <alignment horizontal="center" vertical="center" textRotation="90" wrapText="1"/>
    </xf>
    <xf numFmtId="3" fontId="50" fillId="0" borderId="0" xfId="0" applyNumberFormat="1" applyFont="1" applyAlignment="1">
      <alignment vertical="center" textRotation="90" wrapText="1"/>
    </xf>
    <xf numFmtId="3" fontId="50" fillId="0" borderId="32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center" wrapText="1"/>
    </xf>
    <xf numFmtId="3" fontId="39" fillId="25" borderId="0" xfId="0" applyNumberFormat="1" applyFont="1" applyFill="1" applyAlignment="1">
      <alignment horizontal="center" wrapText="1"/>
    </xf>
    <xf numFmtId="3" fontId="40" fillId="25" borderId="0" xfId="0" applyNumberFormat="1" applyFont="1" applyFill="1" applyAlignment="1">
      <alignment horizontal="center" wrapText="1"/>
    </xf>
    <xf numFmtId="3" fontId="72" fillId="0" borderId="80" xfId="0" applyNumberFormat="1" applyFont="1" applyBorder="1" applyAlignment="1">
      <alignment horizontal="center" vertical="center" wrapText="1"/>
    </xf>
    <xf numFmtId="3" fontId="72" fillId="0" borderId="81" xfId="0" applyNumberFormat="1" applyFont="1" applyBorder="1" applyAlignment="1">
      <alignment horizontal="center" vertical="center" wrapText="1"/>
    </xf>
    <xf numFmtId="14" fontId="50" fillId="0" borderId="0" xfId="0" applyNumberFormat="1" applyFont="1" applyFill="1" applyAlignment="1">
      <alignment horizontal="center" vertical="center" wrapText="1"/>
    </xf>
    <xf numFmtId="3" fontId="52" fillId="0" borderId="37" xfId="0" applyNumberFormat="1" applyFont="1" applyFill="1" applyBorder="1" applyAlignment="1">
      <alignment horizontal="center" vertical="center" wrapText="1"/>
    </xf>
    <xf numFmtId="3" fontId="52" fillId="0" borderId="38" xfId="0" applyNumberFormat="1" applyFont="1" applyFill="1" applyBorder="1" applyAlignment="1">
      <alignment horizontal="center" vertical="center" wrapText="1"/>
    </xf>
    <xf numFmtId="3" fontId="52" fillId="0" borderId="39" xfId="0" applyNumberFormat="1" applyFont="1" applyFill="1" applyBorder="1" applyAlignment="1">
      <alignment horizontal="center" vertical="center" wrapText="1"/>
    </xf>
    <xf numFmtId="3" fontId="14" fillId="25" borderId="101" xfId="0" applyNumberFormat="1" applyFont="1" applyFill="1" applyBorder="1" applyAlignment="1">
      <alignment horizontal="right" vertical="center" shrinkToFit="1"/>
    </xf>
    <xf numFmtId="3" fontId="71" fillId="32" borderId="102" xfId="0" applyNumberFormat="1" applyFont="1" applyFill="1" applyBorder="1" applyAlignment="1">
      <alignment horizontal="center" vertical="center" wrapText="1"/>
    </xf>
    <xf numFmtId="3" fontId="58" fillId="23" borderId="103" xfId="0" applyNumberFormat="1" applyFont="1" applyFill="1" applyBorder="1" applyAlignment="1" applyProtection="1">
      <alignment horizontal="center" vertical="center" shrinkToFit="1"/>
      <protection locked="0"/>
    </xf>
    <xf numFmtId="3" fontId="58" fillId="23" borderId="84" xfId="0" applyNumberFormat="1" applyFont="1" applyFill="1" applyBorder="1" applyAlignment="1" applyProtection="1">
      <alignment horizontal="center" vertical="center" shrinkToFit="1"/>
      <protection locked="0"/>
    </xf>
    <xf numFmtId="3" fontId="58" fillId="23" borderId="45" xfId="0" applyNumberFormat="1" applyFont="1" applyFill="1" applyBorder="1" applyAlignment="1" applyProtection="1">
      <alignment horizontal="center" vertical="center" shrinkToFit="1"/>
      <protection locked="0"/>
    </xf>
    <xf numFmtId="3" fontId="71" fillId="32" borderId="104" xfId="0" applyNumberFormat="1" applyFont="1" applyFill="1" applyBorder="1" applyAlignment="1">
      <alignment horizontal="left" vertical="center" wrapText="1"/>
    </xf>
    <xf numFmtId="3" fontId="71" fillId="32" borderId="99" xfId="0" applyNumberFormat="1" applyFont="1" applyFill="1" applyBorder="1" applyAlignment="1">
      <alignment horizontal="left" vertical="center" wrapText="1"/>
    </xf>
    <xf numFmtId="3" fontId="71" fillId="24" borderId="99" xfId="0" applyNumberFormat="1" applyFont="1" applyFill="1" applyBorder="1" applyAlignment="1">
      <alignment horizontal="center" vertical="center" wrapText="1"/>
    </xf>
    <xf numFmtId="3" fontId="71" fillId="24" borderId="100" xfId="0" applyNumberFormat="1" applyFont="1" applyFill="1" applyBorder="1" applyAlignment="1">
      <alignment horizontal="center" vertical="center" wrapText="1"/>
    </xf>
    <xf numFmtId="3" fontId="71" fillId="32" borderId="98" xfId="0" applyNumberFormat="1" applyFont="1" applyFill="1" applyBorder="1" applyAlignment="1">
      <alignment horizontal="center" vertical="center" shrinkToFit="1"/>
    </xf>
    <xf numFmtId="3" fontId="71" fillId="32" borderId="99" xfId="0" applyNumberFormat="1" applyFont="1" applyFill="1" applyBorder="1" applyAlignment="1">
      <alignment horizontal="center" vertical="center" shrinkToFit="1"/>
    </xf>
    <xf numFmtId="3" fontId="71" fillId="32" borderId="102" xfId="0" applyNumberFormat="1" applyFont="1" applyFill="1" applyBorder="1" applyAlignment="1">
      <alignment horizontal="center" vertical="center" shrinkToFit="1"/>
    </xf>
    <xf numFmtId="3" fontId="106" fillId="31" borderId="75" xfId="0" applyNumberFormat="1" applyFont="1" applyFill="1" applyBorder="1" applyAlignment="1">
      <alignment horizontal="center" vertical="center" wrapText="1"/>
    </xf>
    <xf numFmtId="3" fontId="106" fillId="31" borderId="105" xfId="0" applyNumberFormat="1" applyFont="1" applyFill="1" applyBorder="1" applyAlignment="1">
      <alignment horizontal="center" vertical="center" wrapText="1"/>
    </xf>
    <xf numFmtId="3" fontId="73" fillId="16" borderId="106" xfId="0" applyNumberFormat="1" applyFont="1" applyFill="1" applyBorder="1" applyAlignment="1">
      <alignment horizontal="center" vertical="center" textRotation="90" wrapText="1"/>
    </xf>
    <xf numFmtId="3" fontId="73" fillId="16" borderId="16" xfId="0" applyNumberFormat="1" applyFont="1" applyFill="1" applyBorder="1" applyAlignment="1">
      <alignment horizontal="center" vertical="center" textRotation="90" wrapText="1"/>
    </xf>
    <xf numFmtId="3" fontId="73" fillId="16" borderId="107" xfId="0" applyNumberFormat="1" applyFont="1" applyFill="1" applyBorder="1" applyAlignment="1">
      <alignment horizontal="center" vertical="center" textRotation="90" wrapText="1"/>
    </xf>
    <xf numFmtId="3" fontId="76" fillId="24" borderId="0" xfId="0" applyNumberFormat="1" applyFont="1" applyFill="1" applyAlignment="1">
      <alignment horizontal="left" vertical="center"/>
    </xf>
    <xf numFmtId="14" fontId="14" fillId="25" borderId="35" xfId="0" applyNumberFormat="1" applyFont="1" applyFill="1" applyBorder="1" applyAlignment="1">
      <alignment horizontal="left" vertical="center" shrinkToFit="1"/>
    </xf>
    <xf numFmtId="194" fontId="90" fillId="23" borderId="108" xfId="0" applyNumberFormat="1" applyFont="1" applyFill="1" applyBorder="1" applyAlignment="1" applyProtection="1">
      <alignment horizontal="center" vertical="center" wrapText="1"/>
      <protection locked="0"/>
    </xf>
    <xf numFmtId="194" fontId="90" fillId="23" borderId="109" xfId="0" applyNumberFormat="1" applyFont="1" applyFill="1" applyBorder="1" applyAlignment="1" applyProtection="1">
      <alignment horizontal="center" vertical="center" wrapText="1"/>
      <protection locked="0"/>
    </xf>
    <xf numFmtId="194" fontId="90" fillId="23" borderId="110" xfId="0" applyNumberFormat="1" applyFont="1" applyFill="1" applyBorder="1" applyAlignment="1" applyProtection="1">
      <alignment horizontal="center" vertical="center" wrapText="1"/>
      <protection locked="0"/>
    </xf>
    <xf numFmtId="14" fontId="14" fillId="25" borderId="101" xfId="0" applyNumberFormat="1" applyFont="1" applyFill="1" applyBorder="1" applyAlignment="1">
      <alignment horizontal="center" vertical="center" shrinkToFit="1"/>
    </xf>
    <xf numFmtId="3" fontId="79" fillId="25" borderId="0" xfId="0" applyNumberFormat="1" applyFont="1" applyFill="1" applyBorder="1" applyAlignment="1">
      <alignment horizontal="center" vertical="center" shrinkToFit="1"/>
    </xf>
    <xf numFmtId="3" fontId="43" fillId="24" borderId="111" xfId="0" applyNumberFormat="1" applyFont="1" applyFill="1" applyBorder="1" applyAlignment="1" applyProtection="1">
      <alignment horizontal="center" vertical="center" shrinkToFit="1"/>
      <protection locked="0"/>
    </xf>
    <xf numFmtId="3" fontId="43" fillId="24" borderId="112" xfId="0" applyNumberFormat="1" applyFont="1" applyFill="1" applyBorder="1" applyAlignment="1" applyProtection="1">
      <alignment horizontal="center" vertical="center" shrinkToFit="1"/>
      <protection locked="0"/>
    </xf>
    <xf numFmtId="3" fontId="9" fillId="24" borderId="0" xfId="0" applyNumberFormat="1" applyFont="1" applyFill="1" applyBorder="1" applyAlignment="1">
      <alignment horizontal="center" wrapText="1"/>
    </xf>
    <xf numFmtId="3" fontId="52" fillId="0" borderId="37" xfId="0" applyNumberFormat="1" applyFont="1" applyBorder="1" applyAlignment="1">
      <alignment horizontal="center" vertical="center" wrapText="1"/>
    </xf>
    <xf numFmtId="3" fontId="52" fillId="0" borderId="38" xfId="0" applyNumberFormat="1" applyFont="1" applyBorder="1" applyAlignment="1">
      <alignment horizontal="center" vertical="center" wrapText="1"/>
    </xf>
    <xf numFmtId="3" fontId="52" fillId="0" borderId="39" xfId="0" applyNumberFormat="1" applyFont="1" applyBorder="1" applyAlignment="1">
      <alignment horizontal="center" vertical="center" wrapText="1"/>
    </xf>
    <xf numFmtId="3" fontId="77" fillId="33" borderId="113" xfId="0" applyNumberFormat="1" applyFont="1" applyFill="1" applyBorder="1" applyAlignment="1">
      <alignment horizontal="center" vertical="center" wrapText="1"/>
    </xf>
    <xf numFmtId="3" fontId="77" fillId="33" borderId="114" xfId="0" applyNumberFormat="1" applyFont="1" applyFill="1" applyBorder="1" applyAlignment="1">
      <alignment horizontal="center" vertical="center" wrapText="1"/>
    </xf>
    <xf numFmtId="3" fontId="6" fillId="23" borderId="115" xfId="0" applyNumberFormat="1" applyFont="1" applyFill="1" applyBorder="1" applyAlignment="1" applyProtection="1">
      <alignment horizontal="center" vertical="center" shrinkToFit="1"/>
      <protection locked="0"/>
    </xf>
    <xf numFmtId="3" fontId="6" fillId="23" borderId="116" xfId="0" applyNumberFormat="1" applyFont="1" applyFill="1" applyBorder="1" applyAlignment="1" applyProtection="1">
      <alignment horizontal="center" vertical="center" shrinkToFit="1"/>
      <protection locked="0"/>
    </xf>
    <xf numFmtId="3" fontId="6" fillId="23" borderId="117" xfId="0" applyNumberFormat="1" applyFont="1" applyFill="1" applyBorder="1" applyAlignment="1" applyProtection="1">
      <alignment horizontal="center" vertical="center" shrinkToFit="1"/>
      <protection locked="0"/>
    </xf>
    <xf numFmtId="3" fontId="89" fillId="34" borderId="118" xfId="0" applyNumberFormat="1" applyFont="1" applyFill="1" applyBorder="1" applyAlignment="1">
      <alignment horizontal="center" vertical="center" wrapText="1"/>
    </xf>
    <xf numFmtId="3" fontId="89" fillId="34" borderId="119" xfId="0" applyNumberFormat="1" applyFont="1" applyFill="1" applyBorder="1" applyAlignment="1">
      <alignment horizontal="center" vertical="center" wrapText="1"/>
    </xf>
    <xf numFmtId="3" fontId="89" fillId="34" borderId="120" xfId="0" applyNumberFormat="1" applyFont="1" applyFill="1" applyBorder="1" applyAlignment="1">
      <alignment horizontal="center" vertical="center" wrapText="1"/>
    </xf>
    <xf numFmtId="3" fontId="42" fillId="23" borderId="121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122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123" xfId="0" applyNumberFormat="1" applyFont="1" applyFill="1" applyBorder="1" applyAlignment="1" applyProtection="1">
      <alignment horizontal="center" vertical="center" wrapText="1"/>
      <protection locked="0"/>
    </xf>
    <xf numFmtId="3" fontId="5" fillId="16" borderId="124" xfId="0" applyNumberFormat="1" applyFont="1" applyFill="1" applyBorder="1" applyAlignment="1">
      <alignment horizontal="center" vertical="center" wrapText="1"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3" fontId="71" fillId="32" borderId="127" xfId="0" applyNumberFormat="1" applyFont="1" applyFill="1" applyBorder="1" applyAlignment="1">
      <alignment horizontal="center" vertical="center" wrapText="1"/>
    </xf>
    <xf numFmtId="3" fontId="71" fillId="32" borderId="128" xfId="0" applyNumberFormat="1" applyFont="1" applyFill="1" applyBorder="1" applyAlignment="1">
      <alignment horizontal="center" vertical="center" wrapText="1"/>
    </xf>
    <xf numFmtId="3" fontId="42" fillId="23" borderId="121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122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123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116" xfId="0" applyNumberFormat="1" applyFont="1" applyFill="1" applyBorder="1" applyAlignment="1" applyProtection="1">
      <alignment horizontal="center" vertical="center" wrapText="1"/>
      <protection locked="0"/>
    </xf>
    <xf numFmtId="3" fontId="42" fillId="23" borderId="117" xfId="0" applyNumberFormat="1" applyFont="1" applyFill="1" applyBorder="1" applyAlignment="1" applyProtection="1">
      <alignment horizontal="center" vertical="center" wrapText="1"/>
      <protection locked="0"/>
    </xf>
    <xf numFmtId="3" fontId="71" fillId="32" borderId="100" xfId="0" applyNumberFormat="1" applyFont="1" applyFill="1" applyBorder="1" applyAlignment="1">
      <alignment horizontal="left" vertical="center" wrapText="1"/>
    </xf>
    <xf numFmtId="3" fontId="72" fillId="24" borderId="51" xfId="0" applyNumberFormat="1" applyFont="1" applyFill="1" applyBorder="1" applyAlignment="1">
      <alignment horizontal="center" vertical="center" wrapText="1"/>
    </xf>
    <xf numFmtId="3" fontId="73" fillId="24" borderId="78" xfId="0" applyNumberFormat="1" applyFont="1" applyFill="1" applyBorder="1" applyAlignment="1">
      <alignment horizontal="left" vertical="center" wrapText="1"/>
    </xf>
    <xf numFmtId="3" fontId="73" fillId="24" borderId="50" xfId="0" applyNumberFormat="1" applyFont="1" applyFill="1" applyBorder="1" applyAlignment="1">
      <alignment horizontal="left" vertical="center" wrapText="1"/>
    </xf>
    <xf numFmtId="3" fontId="73" fillId="24" borderId="79" xfId="0" applyNumberFormat="1" applyFont="1" applyFill="1" applyBorder="1" applyAlignment="1">
      <alignment horizontal="left" vertical="center" wrapText="1"/>
    </xf>
    <xf numFmtId="3" fontId="52" fillId="28" borderId="75" xfId="0" applyNumberFormat="1" applyFont="1" applyFill="1" applyBorder="1" applyAlignment="1">
      <alignment horizontal="center" vertical="center" textRotation="90" wrapText="1"/>
    </xf>
    <xf numFmtId="3" fontId="52" fillId="28" borderId="76" xfId="0" applyNumberFormat="1" applyFont="1" applyFill="1" applyBorder="1" applyAlignment="1">
      <alignment horizontal="center" vertical="center" textRotation="90" wrapText="1"/>
    </xf>
    <xf numFmtId="3" fontId="52" fillId="28" borderId="77" xfId="0" applyNumberFormat="1" applyFont="1" applyFill="1" applyBorder="1" applyAlignment="1">
      <alignment horizontal="center" vertical="center" textRotation="90" wrapText="1"/>
    </xf>
    <xf numFmtId="3" fontId="81" fillId="24" borderId="78" xfId="50" applyNumberFormat="1" applyFont="1" applyFill="1" applyBorder="1" applyAlignment="1" applyProtection="1">
      <alignment horizontal="center" vertical="center" wrapText="1"/>
      <protection locked="0"/>
    </xf>
    <xf numFmtId="3" fontId="81" fillId="24" borderId="50" xfId="50" applyNumberFormat="1" applyFont="1" applyFill="1" applyBorder="1" applyAlignment="1" applyProtection="1">
      <alignment horizontal="center" vertical="center" wrapText="1"/>
      <protection locked="0"/>
    </xf>
    <xf numFmtId="3" fontId="81" fillId="24" borderId="79" xfId="50" applyNumberFormat="1" applyFont="1" applyFill="1" applyBorder="1" applyAlignment="1" applyProtection="1">
      <alignment horizontal="center" vertical="center" wrapText="1"/>
      <protection locked="0"/>
    </xf>
    <xf numFmtId="3" fontId="81" fillId="24" borderId="40" xfId="50" applyNumberFormat="1" applyFont="1" applyFill="1" applyBorder="1" applyAlignment="1" applyProtection="1">
      <alignment horizontal="center" vertical="center" wrapText="1"/>
      <protection locked="0"/>
    </xf>
    <xf numFmtId="3" fontId="81" fillId="24" borderId="0" xfId="50" applyNumberFormat="1" applyFont="1" applyFill="1" applyBorder="1" applyAlignment="1" applyProtection="1">
      <alignment horizontal="center" vertical="center" wrapText="1"/>
      <protection locked="0"/>
    </xf>
    <xf numFmtId="3" fontId="81" fillId="24" borderId="82" xfId="50" applyNumberFormat="1" applyFont="1" applyFill="1" applyBorder="1" applyAlignment="1" applyProtection="1">
      <alignment horizontal="center" vertical="center" wrapText="1"/>
      <protection locked="0"/>
    </xf>
    <xf numFmtId="3" fontId="52" fillId="0" borderId="0" xfId="0" applyNumberFormat="1" applyFont="1" applyFill="1" applyBorder="1" applyAlignment="1">
      <alignment horizontal="center" vertical="center" textRotation="90" wrapText="1"/>
    </xf>
    <xf numFmtId="3" fontId="50" fillId="0" borderId="48" xfId="0" applyNumberFormat="1" applyFont="1" applyBorder="1" applyAlignment="1">
      <alignment horizontal="center" vertical="center" wrapText="1"/>
    </xf>
    <xf numFmtId="3" fontId="83" fillId="24" borderId="40" xfId="0" applyNumberFormat="1" applyFont="1" applyFill="1" applyBorder="1" applyAlignment="1">
      <alignment horizontal="center" vertical="center" wrapText="1"/>
    </xf>
    <xf numFmtId="3" fontId="83" fillId="24" borderId="0" xfId="0" applyNumberFormat="1" applyFont="1" applyFill="1" applyBorder="1" applyAlignment="1">
      <alignment horizontal="center" vertical="center" wrapText="1"/>
    </xf>
    <xf numFmtId="3" fontId="83" fillId="24" borderId="82" xfId="0" applyNumberFormat="1" applyFont="1" applyFill="1" applyBorder="1" applyAlignment="1">
      <alignment horizontal="center" vertical="center" wrapText="1"/>
    </xf>
    <xf numFmtId="3" fontId="84" fillId="25" borderId="0" xfId="0" applyNumberFormat="1" applyFont="1" applyFill="1" applyAlignment="1">
      <alignment horizontal="left" vertical="center" wrapText="1" indent="12"/>
    </xf>
    <xf numFmtId="3" fontId="70" fillId="24" borderId="57" xfId="0" applyNumberFormat="1" applyFont="1" applyFill="1" applyBorder="1" applyAlignment="1">
      <alignment horizontal="left" vertical="center" wrapText="1"/>
    </xf>
    <xf numFmtId="3" fontId="70" fillId="24" borderId="51" xfId="0" applyNumberFormat="1" applyFont="1" applyFill="1" applyBorder="1" applyAlignment="1">
      <alignment horizontal="left" vertical="center" wrapText="1"/>
    </xf>
    <xf numFmtId="3" fontId="70" fillId="24" borderId="91" xfId="0" applyNumberFormat="1" applyFont="1" applyFill="1" applyBorder="1" applyAlignment="1">
      <alignment horizontal="left" vertical="center" wrapText="1"/>
    </xf>
    <xf numFmtId="3" fontId="57" fillId="24" borderId="0" xfId="0" applyNumberFormat="1" applyFont="1" applyFill="1" applyAlignment="1">
      <alignment horizontal="center" vertical="center" wrapText="1"/>
    </xf>
    <xf numFmtId="3" fontId="34" fillId="16" borderId="129" xfId="0" applyNumberFormat="1" applyFont="1" applyFill="1" applyBorder="1" applyAlignment="1">
      <alignment horizontal="center" vertical="center" wrapText="1"/>
    </xf>
    <xf numFmtId="3" fontId="34" fillId="16" borderId="52" xfId="0" applyNumberFormat="1" applyFont="1" applyFill="1" applyBorder="1" applyAlignment="1">
      <alignment horizontal="center" vertical="center" wrapText="1"/>
    </xf>
    <xf numFmtId="3" fontId="34" fillId="16" borderId="130" xfId="0" applyNumberFormat="1" applyFont="1" applyFill="1" applyBorder="1" applyAlignment="1">
      <alignment horizontal="center" vertical="center" wrapText="1"/>
    </xf>
    <xf numFmtId="3" fontId="121" fillId="25" borderId="80" xfId="0" applyNumberFormat="1" applyFont="1" applyFill="1" applyBorder="1" applyAlignment="1">
      <alignment horizontal="center" vertical="center" shrinkToFit="1"/>
    </xf>
    <xf numFmtId="3" fontId="121" fillId="25" borderId="67" xfId="0" applyNumberFormat="1" applyFont="1" applyFill="1" applyBorder="1" applyAlignment="1">
      <alignment horizontal="center" vertical="center" shrinkToFit="1"/>
    </xf>
    <xf numFmtId="3" fontId="121" fillId="25" borderId="81" xfId="0" applyNumberFormat="1" applyFont="1" applyFill="1" applyBorder="1" applyAlignment="1">
      <alignment horizontal="center" vertical="center" shrinkToFit="1"/>
    </xf>
    <xf numFmtId="3" fontId="84" fillId="25" borderId="40" xfId="0" applyNumberFormat="1" applyFont="1" applyFill="1" applyBorder="1" applyAlignment="1">
      <alignment horizontal="left" vertical="center" wrapText="1"/>
    </xf>
    <xf numFmtId="3" fontId="84" fillId="25" borderId="0" xfId="0" applyNumberFormat="1" applyFont="1" applyFill="1" applyBorder="1" applyAlignment="1">
      <alignment horizontal="left" vertical="center" wrapText="1"/>
    </xf>
    <xf numFmtId="3" fontId="32" fillId="16" borderId="69" xfId="0" applyNumberFormat="1" applyFont="1" applyFill="1" applyBorder="1" applyAlignment="1">
      <alignment horizontal="center" vertical="center" wrapText="1"/>
    </xf>
    <xf numFmtId="3" fontId="32" fillId="16" borderId="0" xfId="0" applyNumberFormat="1" applyFont="1" applyFill="1" applyBorder="1" applyAlignment="1">
      <alignment horizontal="center" vertical="center" wrapText="1"/>
    </xf>
    <xf numFmtId="3" fontId="70" fillId="24" borderId="40" xfId="0" applyNumberFormat="1" applyFont="1" applyFill="1" applyBorder="1" applyAlignment="1">
      <alignment horizontal="right" vertical="center" wrapText="1"/>
    </xf>
    <xf numFmtId="3" fontId="70" fillId="24" borderId="0" xfId="0" applyNumberFormat="1" applyFont="1" applyFill="1" applyBorder="1" applyAlignment="1">
      <alignment horizontal="right" vertical="center" wrapText="1"/>
    </xf>
    <xf numFmtId="3" fontId="32" fillId="25" borderId="40" xfId="0" applyNumberFormat="1" applyFont="1" applyFill="1" applyBorder="1" applyAlignment="1">
      <alignment horizontal="left" vertical="center" wrapText="1"/>
    </xf>
    <xf numFmtId="3" fontId="32" fillId="25" borderId="0" xfId="0" applyNumberFormat="1" applyFont="1" applyFill="1" applyAlignment="1">
      <alignment horizontal="left" vertical="center" wrapText="1"/>
    </xf>
    <xf numFmtId="3" fontId="33" fillId="16" borderId="131" xfId="0" applyNumberFormat="1" applyFont="1" applyFill="1" applyBorder="1" applyAlignment="1">
      <alignment horizontal="center" vertical="center" wrapText="1"/>
    </xf>
    <xf numFmtId="3" fontId="33" fillId="16" borderId="44" xfId="0" applyNumberFormat="1" applyFont="1" applyFill="1" applyBorder="1" applyAlignment="1">
      <alignment horizontal="center" vertical="center" wrapText="1"/>
    </xf>
    <xf numFmtId="3" fontId="33" fillId="16" borderId="132" xfId="0" applyNumberFormat="1" applyFont="1" applyFill="1" applyBorder="1" applyAlignment="1">
      <alignment horizontal="center" vertical="center" wrapText="1"/>
    </xf>
    <xf numFmtId="0" fontId="0" fillId="24" borderId="133" xfId="0" applyFill="1" applyBorder="1" applyAlignment="1">
      <alignment horizontal="center" vertical="center" wrapText="1"/>
    </xf>
    <xf numFmtId="0" fontId="87" fillId="34" borderId="134" xfId="0" applyFont="1" applyFill="1" applyBorder="1" applyAlignment="1" applyProtection="1">
      <alignment horizontal="center" vertical="center" wrapText="1"/>
      <protection/>
    </xf>
    <xf numFmtId="0" fontId="87" fillId="34" borderId="135" xfId="0" applyFont="1" applyFill="1" applyBorder="1" applyAlignment="1" applyProtection="1">
      <alignment horizontal="center" vertical="center" wrapText="1"/>
      <protection/>
    </xf>
    <xf numFmtId="0" fontId="87" fillId="34" borderId="136" xfId="0" applyFont="1" applyFill="1" applyBorder="1" applyAlignment="1" applyProtection="1">
      <alignment horizontal="center" vertical="center" wrapText="1"/>
      <protection/>
    </xf>
    <xf numFmtId="0" fontId="88" fillId="24" borderId="98" xfId="0" applyFont="1" applyFill="1" applyBorder="1" applyAlignment="1">
      <alignment horizontal="center" vertical="center" wrapText="1"/>
    </xf>
    <xf numFmtId="0" fontId="88" fillId="24" borderId="99" xfId="0" applyFont="1" applyFill="1" applyBorder="1" applyAlignment="1">
      <alignment horizontal="center" vertical="center" wrapText="1"/>
    </xf>
    <xf numFmtId="0" fontId="85" fillId="17" borderId="137" xfId="0" applyFont="1" applyFill="1" applyBorder="1" applyAlignment="1">
      <alignment horizontal="center" vertical="center" wrapText="1"/>
    </xf>
    <xf numFmtId="0" fontId="85" fillId="17" borderId="138" xfId="0" applyFont="1" applyFill="1" applyBorder="1" applyAlignment="1">
      <alignment horizontal="center" vertical="center" wrapText="1"/>
    </xf>
    <xf numFmtId="0" fontId="85" fillId="17" borderId="139" xfId="0" applyFont="1" applyFill="1" applyBorder="1" applyAlignment="1">
      <alignment horizontal="center" vertical="center" wrapText="1"/>
    </xf>
    <xf numFmtId="0" fontId="86" fillId="24" borderId="137" xfId="0" applyFont="1" applyFill="1" applyBorder="1" applyAlignment="1">
      <alignment horizontal="center" vertical="center" wrapText="1"/>
    </xf>
    <xf numFmtId="0" fontId="86" fillId="24" borderId="138" xfId="0" applyFont="1" applyFill="1" applyBorder="1" applyAlignment="1">
      <alignment horizontal="center" vertical="center" wrapText="1"/>
    </xf>
    <xf numFmtId="0" fontId="86" fillId="24" borderId="139" xfId="0" applyFont="1" applyFill="1" applyBorder="1" applyAlignment="1">
      <alignment horizontal="center" vertical="center" wrapText="1"/>
    </xf>
    <xf numFmtId="0" fontId="74" fillId="24" borderId="0" xfId="0" applyFont="1" applyFill="1" applyBorder="1" applyAlignment="1">
      <alignment horizontal="center" vertical="center" wrapText="1"/>
    </xf>
    <xf numFmtId="0" fontId="88" fillId="16" borderId="0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140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3" fontId="1" fillId="24" borderId="86" xfId="60" applyNumberFormat="1" applyFill="1" applyBorder="1" applyAlignment="1" applyProtection="1">
      <alignment horizontal="center" vertical="center" wrapText="1"/>
      <protection locked="0"/>
    </xf>
    <xf numFmtId="3" fontId="1" fillId="24" borderId="141" xfId="60" applyNumberFormat="1" applyFill="1" applyBorder="1" applyAlignment="1" applyProtection="1">
      <alignment horizontal="center" vertical="center" wrapText="1"/>
      <protection locked="0"/>
    </xf>
    <xf numFmtId="3" fontId="1" fillId="24" borderId="54" xfId="60" applyNumberFormat="1" applyFill="1" applyBorder="1" applyAlignment="1" applyProtection="1">
      <alignment horizontal="center" vertical="center" wrapText="1"/>
      <protection locked="0"/>
    </xf>
    <xf numFmtId="3" fontId="109" fillId="35" borderId="142" xfId="60" applyNumberFormat="1" applyFont="1" applyFill="1" applyBorder="1" applyAlignment="1">
      <alignment horizontal="center" vertical="center" wrapText="1"/>
      <protection/>
    </xf>
    <xf numFmtId="3" fontId="109" fillId="35" borderId="143" xfId="60" applyNumberFormat="1" applyFont="1" applyFill="1" applyBorder="1" applyAlignment="1">
      <alignment horizontal="center" vertical="center" wrapText="1"/>
      <protection/>
    </xf>
    <xf numFmtId="3" fontId="110" fillId="36" borderId="144" xfId="60" applyNumberFormat="1" applyFont="1" applyFill="1" applyBorder="1" applyAlignment="1">
      <alignment horizontal="center" vertical="center" wrapText="1"/>
      <protection/>
    </xf>
    <xf numFmtId="3" fontId="110" fillId="36" borderId="145" xfId="60" applyNumberFormat="1" applyFont="1" applyFill="1" applyBorder="1" applyAlignment="1">
      <alignment horizontal="center" vertical="center" wrapText="1"/>
      <protection/>
    </xf>
    <xf numFmtId="3" fontId="110" fillId="36" borderId="146" xfId="60" applyNumberFormat="1" applyFont="1" applyFill="1" applyBorder="1" applyAlignment="1">
      <alignment horizontal="center" vertical="center" wrapText="1"/>
      <protection/>
    </xf>
    <xf numFmtId="3" fontId="59" fillId="24" borderId="147" xfId="60" applyNumberFormat="1" applyFont="1" applyFill="1" applyBorder="1" applyAlignment="1">
      <alignment horizontal="center" vertical="center" wrapText="1"/>
      <protection/>
    </xf>
    <xf numFmtId="3" fontId="107" fillId="37" borderId="148" xfId="60" applyNumberFormat="1" applyFont="1" applyFill="1" applyBorder="1" applyAlignment="1">
      <alignment horizontal="center" vertical="center" wrapText="1"/>
      <protection/>
    </xf>
    <xf numFmtId="3" fontId="107" fillId="37" borderId="149" xfId="60" applyNumberFormat="1" applyFont="1" applyFill="1" applyBorder="1" applyAlignment="1">
      <alignment horizontal="center" vertical="center" wrapText="1"/>
      <protection/>
    </xf>
    <xf numFmtId="3" fontId="108" fillId="24" borderId="127" xfId="60" applyNumberFormat="1" applyFont="1" applyFill="1" applyBorder="1" applyAlignment="1">
      <alignment horizontal="center" vertical="center" wrapText="1"/>
      <protection/>
    </xf>
    <xf numFmtId="3" fontId="108" fillId="24" borderId="145" xfId="60" applyNumberFormat="1" applyFont="1" applyFill="1" applyBorder="1" applyAlignment="1">
      <alignment horizontal="center" vertical="center" wrapText="1"/>
      <protection/>
    </xf>
    <xf numFmtId="3" fontId="108" fillId="24" borderId="146" xfId="60" applyNumberFormat="1" applyFont="1" applyFill="1" applyBorder="1" applyAlignment="1">
      <alignment horizontal="center" vertical="center" wrapText="1"/>
      <protection/>
    </xf>
    <xf numFmtId="3" fontId="94" fillId="24" borderId="86" xfId="60" applyNumberFormat="1" applyFont="1" applyFill="1" applyBorder="1" applyAlignment="1" applyProtection="1">
      <alignment horizontal="center" vertical="center" wrapText="1"/>
      <protection locked="0"/>
    </xf>
    <xf numFmtId="3" fontId="94" fillId="24" borderId="141" xfId="60" applyNumberFormat="1" applyFont="1" applyFill="1" applyBorder="1" applyAlignment="1" applyProtection="1">
      <alignment horizontal="center" vertical="center" wrapText="1"/>
      <protection locked="0"/>
    </xf>
    <xf numFmtId="3" fontId="94" fillId="24" borderId="54" xfId="60" applyNumberFormat="1" applyFont="1" applyFill="1" applyBorder="1" applyAlignment="1" applyProtection="1">
      <alignment horizontal="center" vertical="center" wrapText="1"/>
      <protection locked="0"/>
    </xf>
    <xf numFmtId="3" fontId="70" fillId="36" borderId="98" xfId="60" applyNumberFormat="1" applyFont="1" applyFill="1" applyBorder="1" applyAlignment="1" applyProtection="1">
      <alignment horizontal="center" vertical="center" wrapText="1"/>
      <protection/>
    </xf>
    <xf numFmtId="3" fontId="70" fillId="36" borderId="99" xfId="60" applyNumberFormat="1" applyFont="1" applyFill="1" applyBorder="1" applyAlignment="1" applyProtection="1">
      <alignment horizontal="center" vertical="center" wrapText="1"/>
      <protection/>
    </xf>
    <xf numFmtId="3" fontId="70" fillId="36" borderId="100" xfId="60" applyNumberFormat="1" applyFont="1" applyFill="1" applyBorder="1" applyAlignment="1" applyProtection="1">
      <alignment horizontal="center" vertical="center" wrapText="1"/>
      <protection/>
    </xf>
    <xf numFmtId="3" fontId="110" fillId="24" borderId="98" xfId="60" applyNumberFormat="1" applyFont="1" applyFill="1" applyBorder="1" applyAlignment="1">
      <alignment horizontal="center" vertical="center" wrapText="1"/>
      <protection/>
    </xf>
    <xf numFmtId="3" fontId="110" fillId="24" borderId="99" xfId="60" applyNumberFormat="1" applyFont="1" applyFill="1" applyBorder="1" applyAlignment="1">
      <alignment horizontal="center" vertical="center" wrapText="1"/>
      <protection/>
    </xf>
    <xf numFmtId="3" fontId="111" fillId="16" borderId="0" xfId="60" applyNumberFormat="1" applyFont="1" applyFill="1" applyAlignment="1">
      <alignment horizontal="center" vertical="center" wrapText="1"/>
      <protection/>
    </xf>
    <xf numFmtId="3" fontId="112" fillId="16" borderId="0" xfId="60" applyNumberFormat="1" applyFont="1" applyFill="1" applyAlignment="1">
      <alignment horizontal="center" vertical="center" wrapText="1"/>
      <protection/>
    </xf>
    <xf numFmtId="3" fontId="93" fillId="38" borderId="0" xfId="60" applyNumberFormat="1" applyFont="1" applyFill="1" applyAlignment="1">
      <alignment horizontal="center" vertical="center" wrapText="1"/>
      <protection/>
    </xf>
    <xf numFmtId="3" fontId="99" fillId="24" borderId="150" xfId="60" applyNumberFormat="1" applyFont="1" applyFill="1" applyBorder="1" applyAlignment="1" applyProtection="1">
      <alignment horizontal="center" vertical="center" wrapText="1"/>
      <protection locked="0"/>
    </xf>
    <xf numFmtId="3" fontId="99" fillId="24" borderId="151" xfId="60" applyNumberFormat="1" applyFont="1" applyFill="1" applyBorder="1" applyAlignment="1" applyProtection="1">
      <alignment horizontal="center" vertical="center" wrapText="1"/>
      <protection locked="0"/>
    </xf>
    <xf numFmtId="3" fontId="99" fillId="24" borderId="152" xfId="60" applyNumberFormat="1" applyFont="1" applyFill="1" applyBorder="1" applyAlignment="1" applyProtection="1">
      <alignment horizontal="center" vertical="center" wrapText="1"/>
      <protection locked="0"/>
    </xf>
    <xf numFmtId="3" fontId="99" fillId="24" borderId="153" xfId="60" applyNumberFormat="1" applyFont="1" applyFill="1" applyBorder="1" applyAlignment="1" applyProtection="1">
      <alignment horizontal="center" vertical="center" wrapText="1"/>
      <protection locked="0"/>
    </xf>
    <xf numFmtId="3" fontId="100" fillId="38" borderId="0" xfId="60" applyNumberFormat="1" applyFont="1" applyFill="1" applyAlignment="1">
      <alignment horizontal="center" vertical="center" wrapText="1"/>
      <protection/>
    </xf>
    <xf numFmtId="3" fontId="97" fillId="24" borderId="154" xfId="60" applyNumberFormat="1" applyFont="1" applyFill="1" applyBorder="1" applyAlignment="1" applyProtection="1">
      <alignment horizontal="center" vertical="center" shrinkToFit="1"/>
      <protection locked="0"/>
    </xf>
    <xf numFmtId="3" fontId="97" fillId="24" borderId="51" xfId="60" applyNumberFormat="1" applyFont="1" applyFill="1" applyBorder="1" applyAlignment="1" applyProtection="1">
      <alignment horizontal="center" vertical="center" shrinkToFit="1"/>
      <protection locked="0"/>
    </xf>
    <xf numFmtId="3" fontId="19" fillId="24" borderId="98" xfId="60" applyNumberFormat="1" applyFont="1" applyFill="1" applyBorder="1" applyAlignment="1">
      <alignment horizontal="center" vertical="center" wrapText="1"/>
      <protection/>
    </xf>
    <xf numFmtId="3" fontId="19" fillId="24" borderId="99" xfId="60" applyNumberFormat="1" applyFont="1" applyFill="1" applyBorder="1" applyAlignment="1">
      <alignment horizontal="center" vertical="center" wrapText="1"/>
      <protection/>
    </xf>
    <xf numFmtId="3" fontId="102" fillId="24" borderId="0" xfId="60" applyNumberFormat="1" applyFont="1" applyFill="1" applyAlignment="1">
      <alignment horizontal="center" wrapText="1"/>
      <protection/>
    </xf>
    <xf numFmtId="3" fontId="96" fillId="17" borderId="155" xfId="60" applyNumberFormat="1" applyFont="1" applyFill="1" applyBorder="1" applyAlignment="1">
      <alignment horizontal="left" vertical="center" wrapText="1"/>
      <protection/>
    </xf>
    <xf numFmtId="3" fontId="96" fillId="17" borderId="43" xfId="60" applyNumberFormat="1" applyFont="1" applyFill="1" applyBorder="1" applyAlignment="1">
      <alignment horizontal="left" vertical="center" wrapText="1"/>
      <protection/>
    </xf>
    <xf numFmtId="3" fontId="96" fillId="17" borderId="156" xfId="60" applyNumberFormat="1" applyFont="1" applyFill="1" applyBorder="1" applyAlignment="1">
      <alignment horizontal="left" vertical="center" wrapText="1"/>
      <protection/>
    </xf>
    <xf numFmtId="3" fontId="99" fillId="23" borderId="157" xfId="60" applyNumberFormat="1" applyFont="1" applyFill="1" applyBorder="1" applyAlignment="1">
      <alignment horizontal="center" vertical="center" wrapText="1"/>
      <protection/>
    </xf>
    <xf numFmtId="3" fontId="99" fillId="23" borderId="158" xfId="60" applyNumberFormat="1" applyFont="1" applyFill="1" applyBorder="1" applyAlignment="1">
      <alignment horizontal="center" vertical="center" wrapText="1"/>
      <protection/>
    </xf>
    <xf numFmtId="3" fontId="99" fillId="23" borderId="159" xfId="60" applyNumberFormat="1" applyFont="1" applyFill="1" applyBorder="1" applyAlignment="1">
      <alignment horizontal="center" vertical="center" wrapText="1"/>
      <protection/>
    </xf>
    <xf numFmtId="3" fontId="93" fillId="17" borderId="160" xfId="60" applyNumberFormat="1" applyFont="1" applyFill="1" applyBorder="1" applyAlignment="1">
      <alignment horizontal="left" vertical="center" wrapText="1"/>
      <protection/>
    </xf>
    <xf numFmtId="3" fontId="93" fillId="17" borderId="161" xfId="60" applyNumberFormat="1" applyFont="1" applyFill="1" applyBorder="1" applyAlignment="1">
      <alignment horizontal="left" vertical="center" wrapText="1"/>
      <protection/>
    </xf>
    <xf numFmtId="3" fontId="93" fillId="17" borderId="162" xfId="60" applyNumberFormat="1" applyFont="1" applyFill="1" applyBorder="1" applyAlignment="1">
      <alignment horizontal="left" vertical="center" wrapText="1"/>
      <protection/>
    </xf>
    <xf numFmtId="3" fontId="93" fillId="23" borderId="80" xfId="60" applyNumberFormat="1" applyFont="1" applyFill="1" applyBorder="1" applyAlignment="1">
      <alignment horizontal="center" vertical="center" wrapText="1"/>
      <protection/>
    </xf>
    <xf numFmtId="3" fontId="93" fillId="23" borderId="67" xfId="60" applyNumberFormat="1" applyFont="1" applyFill="1" applyBorder="1" applyAlignment="1">
      <alignment horizontal="center" vertical="center" wrapText="1"/>
      <protection/>
    </xf>
    <xf numFmtId="3" fontId="115" fillId="16" borderId="161" xfId="60" applyNumberFormat="1" applyFont="1" applyFill="1" applyBorder="1" applyAlignment="1">
      <alignment horizontal="center" vertical="center" wrapText="1"/>
      <protection/>
    </xf>
    <xf numFmtId="3" fontId="115" fillId="16" borderId="162" xfId="60" applyNumberFormat="1" applyFont="1" applyFill="1" applyBorder="1" applyAlignment="1">
      <alignment horizontal="center" vertical="center" wrapText="1"/>
      <protection/>
    </xf>
    <xf numFmtId="3" fontId="99" fillId="16" borderId="150" xfId="60" applyNumberFormat="1" applyFont="1" applyFill="1" applyBorder="1" applyAlignment="1">
      <alignment horizontal="center" vertical="center" wrapText="1"/>
      <protection/>
    </xf>
    <xf numFmtId="3" fontId="99" fillId="16" borderId="151" xfId="60" applyNumberFormat="1" applyFont="1" applyFill="1" applyBorder="1" applyAlignment="1">
      <alignment horizontal="center" vertical="center" wrapText="1"/>
      <protection/>
    </xf>
    <xf numFmtId="3" fontId="99" fillId="16" borderId="152" xfId="60" applyNumberFormat="1" applyFont="1" applyFill="1" applyBorder="1" applyAlignment="1">
      <alignment horizontal="center" vertical="center" wrapText="1"/>
      <protection/>
    </xf>
    <xf numFmtId="3" fontId="96" fillId="17" borderId="163" xfId="60" applyNumberFormat="1" applyFont="1" applyFill="1" applyBorder="1" applyAlignment="1">
      <alignment horizontal="left" vertical="center" wrapText="1"/>
      <protection/>
    </xf>
    <xf numFmtId="3" fontId="96" fillId="17" borderId="164" xfId="60" applyNumberFormat="1" applyFont="1" applyFill="1" applyBorder="1" applyAlignment="1">
      <alignment horizontal="left" vertical="center" wrapText="1"/>
      <protection/>
    </xf>
    <xf numFmtId="3" fontId="96" fillId="17" borderId="165" xfId="60" applyNumberFormat="1" applyFont="1" applyFill="1" applyBorder="1" applyAlignment="1">
      <alignment horizontal="left" vertical="center" wrapText="1"/>
      <protection/>
    </xf>
    <xf numFmtId="3" fontId="101" fillId="24" borderId="0" xfId="60" applyNumberFormat="1" applyFont="1" applyFill="1" applyAlignment="1">
      <alignment horizontal="center" vertical="center" wrapText="1"/>
      <protection/>
    </xf>
    <xf numFmtId="3" fontId="114" fillId="16" borderId="80" xfId="60" applyNumberFormat="1" applyFont="1" applyFill="1" applyBorder="1" applyAlignment="1">
      <alignment horizontal="center" vertical="center" wrapText="1"/>
      <protection/>
    </xf>
    <xf numFmtId="3" fontId="114" fillId="16" borderId="67" xfId="60" applyNumberFormat="1" applyFont="1" applyFill="1" applyBorder="1" applyAlignment="1">
      <alignment horizontal="center" vertical="center" wrapText="1"/>
      <protection/>
    </xf>
    <xf numFmtId="3" fontId="114" fillId="16" borderId="81" xfId="60" applyNumberFormat="1" applyFont="1" applyFill="1" applyBorder="1" applyAlignment="1">
      <alignment horizontal="center" vertical="center" wrapText="1"/>
      <protection/>
    </xf>
    <xf numFmtId="3" fontId="114" fillId="16" borderId="166" xfId="60" applyNumberFormat="1" applyFont="1" applyFill="1" applyBorder="1" applyAlignment="1">
      <alignment horizontal="center" vertical="center" wrapText="1"/>
      <protection/>
    </xf>
    <xf numFmtId="3" fontId="114" fillId="16" borderId="167" xfId="60" applyNumberFormat="1" applyFont="1" applyFill="1" applyBorder="1" applyAlignment="1">
      <alignment horizontal="center" vertical="center" wrapText="1"/>
      <protection/>
    </xf>
    <xf numFmtId="3" fontId="114" fillId="16" borderId="168" xfId="60" applyNumberFormat="1" applyFont="1" applyFill="1" applyBorder="1" applyAlignment="1">
      <alignment horizontal="center" vertical="center" wrapText="1"/>
      <protection/>
    </xf>
    <xf numFmtId="3" fontId="96" fillId="17" borderId="169" xfId="60" applyNumberFormat="1" applyFont="1" applyFill="1" applyBorder="1" applyAlignment="1">
      <alignment horizontal="left" vertical="center" wrapText="1"/>
      <protection/>
    </xf>
    <xf numFmtId="3" fontId="96" fillId="17" borderId="99" xfId="60" applyNumberFormat="1" applyFont="1" applyFill="1" applyBorder="1" applyAlignment="1">
      <alignment horizontal="left" vertical="center" wrapText="1"/>
      <protection/>
    </xf>
    <xf numFmtId="3" fontId="96" fillId="17" borderId="170" xfId="60" applyNumberFormat="1" applyFont="1" applyFill="1" applyBorder="1" applyAlignment="1">
      <alignment horizontal="left" vertical="center" wrapText="1"/>
      <protection/>
    </xf>
    <xf numFmtId="3" fontId="99" fillId="23" borderId="171" xfId="60" applyNumberFormat="1" applyFont="1" applyFill="1" applyBorder="1" applyAlignment="1">
      <alignment horizontal="center" vertical="center" wrapText="1"/>
      <protection/>
    </xf>
    <xf numFmtId="3" fontId="99" fillId="23" borderId="145" xfId="60" applyNumberFormat="1" applyFont="1" applyFill="1" applyBorder="1" applyAlignment="1">
      <alignment horizontal="center" vertical="center" wrapText="1"/>
      <protection/>
    </xf>
    <xf numFmtId="3" fontId="99" fillId="23" borderId="172" xfId="6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rmal_Calculadora 2" xfId="60"/>
    <cellStyle name="Nota" xfId="61"/>
    <cellStyle name="Percent" xfId="62"/>
    <cellStyle name="Salida" xfId="63"/>
    <cellStyle name="Título" xfId="64"/>
    <cellStyle name="Total" xfId="65"/>
  </cellStyles>
  <dxfs count="276">
    <dxf>
      <border>
        <left style="thin">
          <color indexed="9"/>
        </left>
      </border>
    </dxf>
    <dxf>
      <border>
        <top style="thin">
          <color indexed="9"/>
        </top>
      </border>
    </dxf>
    <dxf>
      <border>
        <left style="thin">
          <color indexed="9"/>
        </left>
      </border>
    </dxf>
    <dxf>
      <border>
        <top style="thin">
          <color indexed="9"/>
        </top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6"/>
        </patternFill>
      </fill>
    </dxf>
    <dxf>
      <border>
        <left style="thin">
          <color indexed="9"/>
        </left>
      </border>
    </dxf>
    <dxf>
      <font>
        <color indexed="9"/>
      </font>
      <fill>
        <patternFill>
          <fgColor indexed="9"/>
          <bgColor indexed="9"/>
        </patternFill>
      </fill>
      <border>
        <left style="thin">
          <color indexed="9"/>
        </left>
        <right style="thin">
          <color indexed="9"/>
        </right>
      </border>
    </dxf>
    <dxf>
      <border>
        <top style="thin">
          <color indexed="9"/>
        </top>
      </border>
    </dxf>
    <dxf>
      <border>
        <left style="thin">
          <color indexed="9"/>
        </left>
      </border>
    </dxf>
    <dxf>
      <border>
        <left style="thin">
          <color indexed="9"/>
        </left>
      </border>
    </dxf>
    <dxf>
      <border>
        <left style="thin">
          <color indexed="9"/>
        </left>
      </border>
    </dxf>
    <dxf>
      <border>
        <left style="thin">
          <color indexed="9"/>
        </left>
      </border>
    </dxf>
    <dxf>
      <border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fgColor indexed="9"/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indexed="9"/>
      </font>
      <fill>
        <patternFill>
          <bgColor indexed="9"/>
        </patternFill>
      </fill>
      <border>
        <left/>
        <right style="thin">
          <color indexed="9"/>
        </right>
        <top style="thin">
          <color indexed="9"/>
        </top>
        <bottom/>
      </border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fgColor theme="0"/>
          <bgColor theme="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8"/>
      </font>
      <fill>
        <patternFill>
          <bgColor indexed="26"/>
        </patternFill>
      </fill>
      <border>
        <left style="hair">
          <color theme="1" tint="0.49998000264167786"/>
        </left>
        <right style="thin">
          <color theme="1" tint="0.49998000264167786"/>
        </right>
        <top style="thin">
          <color rgb="FF993300"/>
        </top>
        <bottom style="thin">
          <color theme="1" tint="0.49998000264167786"/>
        </bottom>
      </border>
    </dxf>
    <dxf>
      <fill>
        <patternFill>
          <fgColor indexed="9"/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lightDown">
          <fgColor theme="0"/>
          <bgColor theme="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</border>
    </dxf>
    <dxf>
      <border>
        <right style="thin">
          <color indexed="9"/>
        </right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fgColor theme="0"/>
          <bgColor theme="0"/>
        </patternFill>
      </fill>
    </dxf>
    <dxf>
      <font>
        <color indexed="9"/>
      </font>
      <fill>
        <patternFill>
          <fgColor theme="0"/>
          <bgColor theme="0"/>
        </patternFill>
      </fill>
    </dxf>
    <dxf>
      <font>
        <color indexed="8"/>
      </font>
      <fill>
        <patternFill>
          <bgColor indexed="2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indexed="9"/>
        </left>
      </border>
    </dxf>
    <dxf>
      <border>
        <top style="thin">
          <color indexed="9"/>
        </top>
      </border>
    </dxf>
    <dxf>
      <border>
        <right style="thin">
          <color indexed="9"/>
        </right>
        <bottom style="thin">
          <color indexed="9"/>
        </bottom>
      </border>
    </dxf>
    <dxf>
      <border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top style="thin">
          <color indexed="9"/>
        </top>
      </border>
    </dxf>
    <dxf>
      <border>
        <left style="thin">
          <color indexed="9"/>
        </left>
        <bottom style="thin">
          <color indexed="9"/>
        </bottom>
      </border>
    </dxf>
    <dxf>
      <border>
        <left style="thin">
          <color indexed="9"/>
        </left>
        <top style="thin">
          <color indexed="9"/>
        </top>
        <bottom style="thin">
          <color indexed="9"/>
        </bottom>
      </border>
    </dxf>
    <dxf>
      <border>
        <top style="thin">
          <color indexed="9"/>
        </top>
      </border>
    </dxf>
    <dxf>
      <border>
        <bottom style="thin">
          <color indexed="9"/>
        </bottom>
      </border>
    </dxf>
    <dxf>
      <border>
        <top style="thin">
          <color indexed="9"/>
        </top>
        <bottom style="thin">
          <color indexed="9"/>
        </bottom>
      </border>
    </dxf>
    <dxf>
      <border>
        <bottom style="thin">
          <color indexed="9"/>
        </bottom>
      </border>
    </dxf>
    <dxf>
      <border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top/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top style="thin">
          <color indexed="9"/>
        </top>
        <bottom style="thin">
          <color indexed="9"/>
        </bottom>
      </border>
    </dxf>
    <dxf>
      <border>
        <bottom style="thin">
          <color indexed="9"/>
        </bottom>
      </border>
    </dxf>
    <dxf>
      <border>
        <bottom style="thin">
          <color indexed="9"/>
        </bottom>
      </border>
    </dxf>
    <dxf>
      <border>
        <right style="thin">
          <color indexed="9"/>
        </right>
        <bottom style="thin">
          <color indexed="9"/>
        </bottom>
      </border>
    </dxf>
    <dxf>
      <border>
        <bottom style="thin">
          <color indexed="9"/>
        </bottom>
      </border>
    </dxf>
    <dxf>
      <border>
        <left style="thin">
          <color indexed="9"/>
        </left>
        <bottom style="thin">
          <color indexed="9"/>
        </bottom>
      </border>
    </dxf>
    <dxf>
      <border>
        <bottom style="thin">
          <color indexed="9"/>
        </bottom>
      </border>
    </dxf>
    <dxf>
      <border>
        <left style="thin">
          <color indexed="9"/>
        </left>
        <top style="thin">
          <color indexed="9"/>
        </top>
        <bottom style="thin">
          <color indexed="9"/>
        </bottom>
      </border>
    </dxf>
    <dxf>
      <border>
        <right style="thin">
          <color indexed="9"/>
        </right>
        <bottom style="thin">
          <color indexed="9"/>
        </bottom>
      </border>
    </dxf>
    <dxf>
      <border>
        <bottom style="thin">
          <color indexed="9"/>
        </bottom>
      </border>
    </dxf>
    <dxf>
      <border>
        <left style="thin">
          <color indexed="9"/>
        </left>
        <bottom style="thin">
          <color indexed="9"/>
        </bottom>
      </border>
    </dxf>
    <dxf>
      <border>
        <bottom style="thin">
          <color indexed="9"/>
        </bottom>
      </border>
    </dxf>
    <dxf>
      <border>
        <top style="thin">
          <color indexed="9"/>
        </top>
        <bottom style="thin">
          <color indexed="9"/>
        </bottom>
      </border>
    </dxf>
    <dxf>
      <border>
        <bottom style="thin">
          <color indexed="9"/>
        </bottom>
      </border>
    </dxf>
    <dxf>
      <border>
        <left style="thin">
          <color indexed="9"/>
        </left>
      </border>
    </dxf>
    <dxf>
      <border>
        <top style="thin">
          <color theme="0"/>
        </top>
      </border>
    </dxf>
    <dxf>
      <border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bottom style="thin">
          <color theme="0"/>
        </bottom>
      </border>
    </dxf>
    <dxf>
      <border>
        <top style="thin">
          <color theme="0"/>
        </top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indexed="9"/>
        </patternFill>
      </fill>
    </dxf>
    <dxf>
      <font>
        <color indexed="10"/>
      </font>
      <fill>
        <patternFill>
          <bgColor indexed="9"/>
        </patternFill>
      </fill>
    </dxf>
    <dxf>
      <border>
        <left style="thin">
          <color indexed="23"/>
        </left>
      </border>
    </dxf>
    <dxf>
      <fill>
        <patternFill>
          <bgColor indexed="23"/>
        </patternFill>
      </fill>
      <border>
        <right>
          <color indexed="63"/>
        </right>
        <top style="thin">
          <color indexed="16"/>
        </top>
        <bottom>
          <color indexed="63"/>
        </bottom>
      </border>
    </dxf>
    <dxf>
      <font>
        <color rgb="FF808080"/>
      </font>
      <fill>
        <patternFill>
          <bgColor rgb="FF808080"/>
        </patternFill>
      </fill>
      <border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</border>
    </dxf>
    <dxf>
      <font>
        <color indexed="60"/>
      </font>
      <fill>
        <patternFill>
          <bgColor indexed="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name val="Cambria"/>
        <color indexed="16"/>
      </font>
      <fill>
        <patternFill patternType="solid">
          <fgColor indexed="9"/>
          <bgColor indexed="9"/>
        </patternFill>
      </fill>
      <border>
        <left style="thin">
          <color indexed="37"/>
        </left>
        <right style="thin">
          <color indexed="37"/>
        </right>
        <top style="thin">
          <color indexed="37"/>
        </top>
        <bottom style="thin">
          <color indexed="37"/>
        </bottom>
      </border>
    </dxf>
    <dxf>
      <font>
        <color indexed="9"/>
      </font>
      <fill>
        <patternFill>
          <fgColor indexed="9"/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name val="Cambria"/>
        <color indexed="60"/>
      </font>
      <fill>
        <patternFill patternType="solid">
          <bgColor indexed="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9"/>
      </font>
      <fill>
        <patternFill>
          <fgColor indexed="9"/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</border>
    </dxf>
    <dxf>
      <border>
        <left style="thin">
          <color indexed="9"/>
        </left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9"/>
        </patternFill>
      </fill>
    </dxf>
    <dxf>
      <border>
        <left style="thin">
          <color indexed="9"/>
        </left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</border>
    </dxf>
    <dxf>
      <border>
        <bottom style="thin">
          <color indexed="9"/>
        </bottom>
      </border>
    </dxf>
    <dxf>
      <border>
        <top style="thin">
          <color theme="0"/>
        </top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4999699890613556"/>
      </font>
      <border>
        <left style="thin">
          <color indexed="22"/>
        </left>
        <right style="thin">
          <color indexed="22"/>
        </right>
        <top style="thin">
          <color rgb="FF990000"/>
        </top>
        <bottom style="thin">
          <color indexed="22"/>
        </bottom>
      </border>
    </dxf>
    <dxf>
      <font>
        <color theme="0" tint="-0.4999699890613556"/>
      </font>
      <fill>
        <patternFill>
          <bgColor indexed="26"/>
        </patternFill>
      </fill>
      <border>
        <left style="thin">
          <color indexed="22"/>
        </left>
        <right style="thin">
          <color indexed="22"/>
        </right>
        <top style="thin">
          <color rgb="FF990000"/>
        </top>
        <bottom style="thin">
          <color indexed="22"/>
        </bottom>
      </border>
    </dxf>
    <dxf>
      <border>
        <top style="thin">
          <color theme="0"/>
        </top>
      </border>
    </dxf>
    <dxf>
      <border>
        <top style="thin">
          <color theme="0"/>
        </top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right style="thin">
          <color indexed="9"/>
        </right>
      </border>
    </dxf>
    <dxf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bottom style="thin">
          <color theme="0"/>
        </bottom>
      </border>
    </dxf>
    <dxf>
      <border>
        <top style="thin">
          <color indexed="9"/>
        </top>
      </border>
    </dxf>
    <dxf>
      <fill>
        <patternFill patternType="lightUp">
          <fgColor indexed="16"/>
          <bgColor indexed="10"/>
        </patternFill>
      </fill>
    </dxf>
    <dxf>
      <border>
        <left style="thin">
          <color indexed="9"/>
        </left>
      </border>
    </dxf>
    <dxf>
      <font>
        <b/>
        <i val="0"/>
        <color indexed="9"/>
      </font>
      <fill>
        <patternFill>
          <bgColor rgb="FFCC0000"/>
        </patternFill>
      </fill>
    </dxf>
    <dxf>
      <font>
        <color rgb="FFC00000"/>
      </font>
      <fill>
        <patternFill>
          <bgColor rgb="FFDDDDDD"/>
        </patternFill>
      </fill>
      <border>
        <right style="thin">
          <color theme="1"/>
        </right>
        <bottom style="thin">
          <color theme="1"/>
        </bottom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bottom style="thin">
          <color indexed="9"/>
        </bottom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top style="thin">
          <color indexed="9"/>
        </top>
      </border>
    </dxf>
    <dxf>
      <border>
        <left style="thin">
          <color indexed="9"/>
        </left>
      </border>
    </dxf>
    <dxf>
      <border>
        <right style="thin">
          <color indexed="9"/>
        </right>
      </border>
    </dxf>
    <dxf>
      <fill>
        <patternFill>
          <bgColor indexed="10"/>
        </patternFill>
      </fill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bottom style="thin">
          <color indexed="9"/>
        </bottom>
      </border>
    </dxf>
    <dxf>
      <border>
        <top style="thin">
          <color indexed="9"/>
        </top>
      </border>
    </dxf>
    <dxf>
      <fill>
        <patternFill>
          <bgColor indexed="9"/>
        </patternFill>
      </fill>
    </dxf>
    <dxf>
      <fill>
        <patternFill>
          <bgColor indexed="9"/>
        </patternFill>
      </fill>
      <border>
        <left style="thin">
          <color indexed="9"/>
        </left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3300"/>
        </patternFill>
      </fill>
    </dxf>
    <dxf>
      <fill>
        <patternFill>
          <bgColor indexed="9"/>
        </patternFill>
      </fill>
    </dxf>
    <dxf>
      <border>
        <left style="thin">
          <color indexed="9"/>
        </left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bottom style="thin">
          <color indexed="9"/>
        </bottom>
      </border>
    </dxf>
    <dxf>
      <border>
        <bottom style="thin">
          <color indexed="9"/>
        </bottom>
      </border>
    </dxf>
    <dxf>
      <border>
        <top style="thin">
          <color indexed="9"/>
        </top>
      </border>
    </dxf>
    <dxf>
      <border>
        <top>
          <color indexed="63"/>
        </top>
        <bottom style="thin">
          <color indexed="9"/>
        </bottom>
      </border>
    </dxf>
    <dxf>
      <fill>
        <patternFill>
          <bgColor rgb="FFFF3300"/>
        </patternFill>
      </fill>
    </dxf>
    <dxf>
      <border>
        <top style="thin">
          <color theme="0"/>
        </top>
      </border>
    </dxf>
    <dxf>
      <font>
        <b/>
        <i/>
        <color rgb="FFFF0000"/>
      </font>
    </dxf>
    <dxf>
      <font>
        <b/>
        <i/>
        <color rgb="FFFF000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3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</dxf>
    <dxf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 patternType="lightDown">
          <fgColor theme="0"/>
          <bgColor theme="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fill>
        <patternFill>
          <bgColor rgb="FFFF0000"/>
        </patternFill>
      </fill>
    </dxf>
    <dxf>
      <font>
        <color indexed="8"/>
      </font>
      <fill>
        <patternFill>
          <bgColor indexed="26"/>
        </patternFill>
      </fill>
    </dxf>
    <dxf>
      <font>
        <color indexed="8"/>
      </font>
      <fill>
        <patternFill>
          <bgColor indexed="26"/>
        </patternFill>
      </fill>
    </dxf>
    <dxf>
      <fill>
        <patternFill>
          <bgColor rgb="FF969696"/>
        </patternFill>
      </fill>
    </dxf>
    <dxf>
      <font>
        <color rgb="FF990000"/>
      </font>
      <fill>
        <patternFill>
          <bgColor rgb="FFC0C0C0"/>
        </patternFill>
      </fill>
    </dxf>
    <dxf>
      <fill>
        <patternFill>
          <bgColor indexed="26"/>
        </patternFill>
      </fill>
      <border>
        <bottom style="thin">
          <color indexed="55"/>
        </bottom>
      </border>
    </dxf>
    <dxf>
      <fill>
        <patternFill>
          <bgColor indexed="26"/>
        </patternFill>
      </fill>
      <border>
        <bottom style="thin">
          <color indexed="55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9"/>
        </patternFill>
      </fill>
    </dxf>
    <dxf>
      <fill>
        <patternFill patternType="lightUp">
          <fgColor indexed="16"/>
          <bgColor indexed="10"/>
        </patternFill>
      </fill>
    </dxf>
    <dxf>
      <fill>
        <patternFill>
          <bgColor theme="0" tint="-0.3499799966812134"/>
        </patternFill>
      </fill>
      <border>
        <left/>
        <right style="thin">
          <color rgb="FF990000"/>
        </right>
        <top/>
        <bottom style="thin">
          <color rgb="FF990000"/>
        </bottom>
      </border>
    </dxf>
    <dxf>
      <fill>
        <patternFill>
          <bgColor theme="0" tint="-0.3499799966812134"/>
        </patternFill>
      </fill>
      <border>
        <right/>
        <bottom style="thin">
          <color rgb="FF990000"/>
        </bottom>
      </border>
    </dxf>
    <dxf>
      <fill>
        <patternFill>
          <bgColor indexed="9"/>
        </patternFill>
      </fill>
      <border>
        <right/>
        <bottom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808080"/>
        </patternFill>
      </fill>
    </dxf>
    <dxf>
      <font>
        <color rgb="FFC00000"/>
      </font>
      <fill>
        <patternFill patternType="solid">
          <fgColor theme="9" tint="0.39991000294685364"/>
          <bgColor theme="0"/>
        </patternFill>
      </fill>
      <border>
        <bottom style="thin">
          <color rgb="FF990000"/>
        </bottom>
      </border>
    </dxf>
    <dxf>
      <fill>
        <patternFill>
          <bgColor indexed="23"/>
        </patternFill>
      </fill>
    </dxf>
    <dxf>
      <font>
        <color indexed="9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FFCC"/>
        </patternFill>
      </fill>
      <border>
        <bottom style="thin">
          <color rgb="FF00FFFF"/>
        </bottom>
      </border>
    </dxf>
    <dxf>
      <font>
        <color rgb="FFFFFFFF"/>
      </font>
      <fill>
        <patternFill patternType="lightDown">
          <fgColor theme="0"/>
          <bgColor theme="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808080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border>
        <top style="thin">
          <color rgb="FF000000"/>
        </top>
      </border>
    </dxf>
    <dxf>
      <font>
        <color rgb="FF000000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auto="1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theme="0" tint="-0.4999699890613556"/>
      </font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 style="thin">
          <color rgb="FF990000"/>
        </top>
        <bottom style="thin">
          <color rgb="FFFF00FF"/>
        </bottom>
      </border>
    </dxf>
    <dxf>
      <font>
        <color theme="0" tint="-0.4999699890613556"/>
      </font>
      <border>
        <left style="thin">
          <color rgb="FFC0C0C0"/>
        </left>
        <right style="thin">
          <color rgb="FFFF00FF"/>
        </right>
        <top style="thin">
          <color rgb="FF990000"/>
        </top>
        <bottom style="thin">
          <color rgb="FFFF00FF"/>
        </bottom>
      </border>
    </dxf>
    <dxf>
      <font>
        <color rgb="FFFFFFFF"/>
      </font>
      <fill>
        <patternFill>
          <fgColor rgb="FFFFFFFF"/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 val="0"/>
        <i val="0"/>
        <color rgb="FF993300"/>
      </font>
      <fill>
        <patternFill patternType="solid">
          <bgColor rgb="FFFFFFFF"/>
        </patternFill>
      </fill>
      <border>
        <left style="thin">
          <color rgb="FF9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00000"/>
      </font>
      <fill>
        <patternFill patternType="solid">
          <fgColor rgb="FFFFFFFF"/>
          <bgColor rgb="FFFFFFFF"/>
        </patternFill>
      </fill>
      <border>
        <left style="thin">
          <color rgb="FF800000"/>
        </left>
        <right style="thin">
          <color rgb="FFFFFF00"/>
        </right>
        <top style="thin"/>
        <bottom style="thin">
          <color rgb="FFFFFF00"/>
        </bottom>
      </border>
    </dxf>
    <dxf>
      <font>
        <color rgb="FF993300"/>
      </font>
      <fill>
        <patternFill>
          <bgColor rgb="FFFFFFFF"/>
        </patternFill>
      </fill>
      <border>
        <left style="thin">
          <color rgb="FF9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808080"/>
        </patternFill>
      </fill>
      <border>
        <right>
          <color rgb="FF000000"/>
        </right>
        <top style="thin">
          <color rgb="FF000000"/>
        </top>
        <bottom>
          <color rgb="FF000000"/>
        </bottom>
      </border>
    </dxf>
    <dxf>
      <border>
        <top style="thin"/>
        <bottom style="thin">
          <color rgb="FFFFFFFF"/>
        </bottom>
      </border>
    </dxf>
    <dxf>
      <border>
        <left style="thin">
          <color rgb="FFFFFFFF"/>
        </left>
        <top style="thin"/>
        <bottom style="thin">
          <color rgb="FFFFFFFF"/>
        </bottom>
      </border>
    </dxf>
    <dxf>
      <border>
        <right style="thin">
          <color rgb="FFFFFFFF"/>
        </right>
        <top style="thin"/>
        <bottom style="thin">
          <color rgb="FFFFFFFF"/>
        </bottom>
      </border>
    </dxf>
    <dxf>
      <font>
        <color theme="0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FFFF"/>
      </font>
      <fill>
        <patternFill>
          <fgColor theme="0"/>
          <bgColor theme="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 style="thin">
          <color rgb="FFFFFFFF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lculadora!J5" /><Relationship Id="rId3" Type="http://schemas.openxmlformats.org/officeDocument/2006/relationships/hyperlink" Target="#Calculadora!J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sulta!J1" /><Relationship Id="rId3" Type="http://schemas.openxmlformats.org/officeDocument/2006/relationships/hyperlink" Target="#Consulta!J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sulta!J1" /><Relationship Id="rId3" Type="http://schemas.openxmlformats.org/officeDocument/2006/relationships/hyperlink" Target="#Consulta!J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22</xdr:row>
      <xdr:rowOff>123825</xdr:rowOff>
    </xdr:from>
    <xdr:to>
      <xdr:col>25</xdr:col>
      <xdr:colOff>209550</xdr:colOff>
      <xdr:row>24</xdr:row>
      <xdr:rowOff>0</xdr:rowOff>
    </xdr:to>
    <xdr:sp macro="[0]!borra">
      <xdr:nvSpPr>
        <xdr:cNvPr id="1" name="17 Rectángulo"/>
        <xdr:cNvSpPr>
          <a:spLocks/>
        </xdr:cNvSpPr>
      </xdr:nvSpPr>
      <xdr:spPr>
        <a:xfrm>
          <a:off x="7667625" y="3524250"/>
          <a:ext cx="981075" cy="247650"/>
        </a:xfrm>
        <a:prstGeom prst="rect">
          <a:avLst/>
        </a:prstGeom>
        <a:gradFill rotWithShape="1">
          <a:gsLst>
            <a:gs pos="0">
              <a:srgbClr val="484848"/>
            </a:gs>
            <a:gs pos="50000">
              <a:srgbClr val="6B6B6B"/>
            </a:gs>
            <a:gs pos="100000">
              <a:srgbClr val="808080"/>
            </a:gs>
          </a:gsLst>
          <a:lin ang="18900000" scaled="1"/>
        </a:gra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C0C0C0"/>
              </a:solidFill>
            </a:rPr>
            <a:t>Limpiar datos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200025</xdr:rowOff>
    </xdr:from>
    <xdr:to>
      <xdr:col>3</xdr:col>
      <xdr:colOff>238125</xdr:colOff>
      <xdr:row>2</xdr:row>
      <xdr:rowOff>9525</xdr:rowOff>
    </xdr:to>
    <xdr:pic>
      <xdr:nvPicPr>
        <xdr:cNvPr id="2" name="Picture 18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28575</xdr:rowOff>
    </xdr:from>
    <xdr:to>
      <xdr:col>2</xdr:col>
      <xdr:colOff>352425</xdr:colOff>
      <xdr:row>2</xdr:row>
      <xdr:rowOff>295275</xdr:rowOff>
    </xdr:to>
    <xdr:pic>
      <xdr:nvPicPr>
        <xdr:cNvPr id="1" name="4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2</xdr:col>
      <xdr:colOff>66675</xdr:colOff>
      <xdr:row>3</xdr:row>
      <xdr:rowOff>38100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4</xdr:row>
      <xdr:rowOff>76200</xdr:rowOff>
    </xdr:from>
    <xdr:to>
      <xdr:col>20</xdr:col>
      <xdr:colOff>47625</xdr:colOff>
      <xdr:row>5</xdr:row>
      <xdr:rowOff>76200</xdr:rowOff>
    </xdr:to>
    <xdr:sp macro="[0]!bbr">
      <xdr:nvSpPr>
        <xdr:cNvPr id="2" name="2 Rectángulo"/>
        <xdr:cNvSpPr>
          <a:spLocks/>
        </xdr:cNvSpPr>
      </xdr:nvSpPr>
      <xdr:spPr>
        <a:xfrm>
          <a:off x="5838825" y="685800"/>
          <a:ext cx="914400" cy="247650"/>
        </a:xfrm>
        <a:prstGeom prst="rect">
          <a:avLst/>
        </a:prstGeom>
        <a:gradFill rotWithShape="1">
          <a:gsLst>
            <a:gs pos="0">
              <a:srgbClr val="484848"/>
            </a:gs>
            <a:gs pos="50000">
              <a:srgbClr val="6B6B6B"/>
            </a:gs>
            <a:gs pos="100000">
              <a:srgbClr val="808080"/>
            </a:gs>
          </a:gsLst>
          <a:lin ang="18900000" scaled="1"/>
        </a:gra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C0C0C0"/>
              </a:solidFill>
            </a:rPr>
            <a:t>Limpiar datos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0000"/>
  </sheetPr>
  <dimension ref="A1:DH355"/>
  <sheetViews>
    <sheetView showGridLines="0" showRowColHeaders="0" workbookViewId="0" topLeftCell="A1">
      <selection activeCell="J1" sqref="J1:M1"/>
    </sheetView>
  </sheetViews>
  <sheetFormatPr defaultColWidth="1.1484375" defaultRowHeight="0.75" customHeight="1"/>
  <cols>
    <col min="1" max="1" width="1.28515625" style="2" customWidth="1"/>
    <col min="2" max="2" width="0.42578125" style="2" customWidth="1"/>
    <col min="3" max="3" width="1.28515625" style="2" customWidth="1"/>
    <col min="4" max="4" width="5.00390625" style="2" customWidth="1"/>
    <col min="5" max="7" width="5.28125" style="2" customWidth="1"/>
    <col min="8" max="8" width="5.8515625" style="2" customWidth="1"/>
    <col min="9" max="9" width="7.00390625" style="2" customWidth="1"/>
    <col min="10" max="10" width="9.140625" style="2" customWidth="1"/>
    <col min="11" max="11" width="2.28125" style="2" customWidth="1"/>
    <col min="12" max="13" width="4.421875" style="2" customWidth="1"/>
    <col min="14" max="14" width="7.00390625" style="2" customWidth="1"/>
    <col min="15" max="15" width="5.28125" style="2" customWidth="1"/>
    <col min="16" max="16" width="6.00390625" style="2" customWidth="1"/>
    <col min="17" max="17" width="7.28125" style="2" customWidth="1"/>
    <col min="18" max="18" width="7.421875" style="2" customWidth="1"/>
    <col min="19" max="19" width="4.8515625" style="2" customWidth="1"/>
    <col min="20" max="20" width="6.7109375" style="2" customWidth="1"/>
    <col min="21" max="21" width="7.421875" style="2" customWidth="1"/>
    <col min="22" max="22" width="7.28125" style="2" customWidth="1"/>
    <col min="23" max="23" width="6.28125" style="2" customWidth="1"/>
    <col min="24" max="24" width="2.28125" style="2" hidden="1" customWidth="1"/>
    <col min="25" max="26" width="4.00390625" style="2" customWidth="1"/>
    <col min="27" max="27" width="0.9921875" style="74" customWidth="1"/>
    <col min="28" max="28" width="4.421875" style="89" customWidth="1"/>
    <col min="29" max="31" width="4.421875" style="95" hidden="1" customWidth="1"/>
    <col min="32" max="47" width="4.421875" style="96" hidden="1" customWidth="1"/>
    <col min="48" max="51" width="4.421875" style="97" hidden="1" customWidth="1"/>
    <col min="52" max="70" width="4.421875" style="96" hidden="1" customWidth="1"/>
    <col min="71" max="71" width="4.421875" style="97" hidden="1" customWidth="1"/>
    <col min="72" max="75" width="4.421875" style="96" hidden="1" customWidth="1"/>
    <col min="76" max="77" width="4.421875" style="98" hidden="1" customWidth="1"/>
    <col min="78" max="78" width="4.421875" style="96" hidden="1" customWidth="1"/>
    <col min="79" max="79" width="4.421875" style="98" hidden="1" customWidth="1"/>
    <col min="80" max="92" width="4.421875" style="96" hidden="1" customWidth="1"/>
    <col min="93" max="94" width="4.421875" style="99" hidden="1" customWidth="1"/>
    <col min="95" max="95" width="3.140625" style="99" hidden="1" customWidth="1"/>
    <col min="96" max="96" width="3.421875" style="99" hidden="1" customWidth="1"/>
    <col min="97" max="103" width="0.2890625" style="99" hidden="1" customWidth="1"/>
    <col min="104" max="104" width="0.71875" style="99" customWidth="1"/>
    <col min="105" max="112" width="0.71875" style="75" customWidth="1"/>
    <col min="113" max="134" width="0.71875" style="71" customWidth="1"/>
    <col min="135" max="230" width="1.1484375" style="71" customWidth="1"/>
    <col min="231" max="16384" width="1.1484375" style="71" customWidth="1"/>
  </cols>
  <sheetData>
    <row r="1" spans="1:68" ht="17.25" customHeight="1" thickTop="1">
      <c r="A1" s="5"/>
      <c r="B1" s="399" t="s">
        <v>166</v>
      </c>
      <c r="C1" s="399"/>
      <c r="D1" s="399"/>
      <c r="E1" s="399"/>
      <c r="F1" s="399"/>
      <c r="G1" s="399"/>
      <c r="H1" s="399"/>
      <c r="I1" s="399"/>
      <c r="J1" s="400"/>
      <c r="K1" s="400"/>
      <c r="L1" s="400"/>
      <c r="M1" s="401"/>
      <c r="N1" s="276">
        <f>IF(J1="","",LOOKUP(J1,AI1:AJ3))</f>
      </c>
      <c r="O1" s="5"/>
      <c r="P1" s="5"/>
      <c r="Q1" s="376" t="s">
        <v>180</v>
      </c>
      <c r="R1" s="376"/>
      <c r="S1" s="376"/>
      <c r="T1" s="398">
        <v>41518</v>
      </c>
      <c r="U1" s="398"/>
      <c r="V1" s="183" t="s">
        <v>181</v>
      </c>
      <c r="W1" s="394">
        <f>+IF(BM2="","",BM2)</f>
        <v>41547</v>
      </c>
      <c r="X1" s="394"/>
      <c r="Y1" s="394"/>
      <c r="Z1" s="394"/>
      <c r="AA1" s="11"/>
      <c r="AB1" s="76"/>
      <c r="AF1" s="96">
        <v>2</v>
      </c>
      <c r="AG1" s="96" t="s">
        <v>262</v>
      </c>
      <c r="BK1" s="367" t="s">
        <v>104</v>
      </c>
      <c r="BL1" s="367"/>
      <c r="BM1" s="372">
        <f ca="1">TODAY()</f>
        <v>41529</v>
      </c>
      <c r="BN1" s="372"/>
      <c r="BO1" s="372"/>
      <c r="BP1" s="372"/>
    </row>
    <row r="2" spans="1:70" ht="21.75" customHeight="1" thickBot="1">
      <c r="A2" s="5"/>
      <c r="B2" s="411" t="s">
        <v>182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3"/>
      <c r="V2" s="406" t="str">
        <f>LOOKUP(T1,BX10:BZ22)</f>
        <v>Septiembre_2013</v>
      </c>
      <c r="W2" s="406"/>
      <c r="X2" s="406"/>
      <c r="Y2" s="406"/>
      <c r="Z2" s="406"/>
      <c r="AA2" s="407"/>
      <c r="AB2" s="77"/>
      <c r="AH2" s="96" t="s">
        <v>162</v>
      </c>
      <c r="AI2" s="96" t="s">
        <v>120</v>
      </c>
      <c r="AJ2" s="96">
        <v>2</v>
      </c>
      <c r="BK2" s="367" t="s">
        <v>105</v>
      </c>
      <c r="BL2" s="367"/>
      <c r="BM2" s="372">
        <f>LOOKUP(V2,CC10:CD22)</f>
        <v>41547</v>
      </c>
      <c r="BN2" s="372"/>
      <c r="BO2" s="372"/>
      <c r="BP2" s="372"/>
      <c r="BR2" s="96">
        <f>+IF(BM1&lt;=BM2,0,1)</f>
        <v>0</v>
      </c>
    </row>
    <row r="3" spans="1:57" ht="3.75" customHeight="1">
      <c r="A3" s="5"/>
      <c r="B3" s="5"/>
      <c r="C3" s="5"/>
      <c r="D3" s="5"/>
      <c r="E3" s="5"/>
      <c r="F3" s="5"/>
      <c r="G3" s="5"/>
      <c r="H3" s="5"/>
      <c r="I3" s="1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9"/>
      <c r="W3" s="29"/>
      <c r="X3" s="29"/>
      <c r="Y3" s="29"/>
      <c r="Z3" s="29"/>
      <c r="AA3" s="30"/>
      <c r="AB3" s="76"/>
      <c r="AG3" s="100"/>
      <c r="AH3" s="101" t="s">
        <v>120</v>
      </c>
      <c r="AI3" s="101" t="s">
        <v>119</v>
      </c>
      <c r="AJ3" s="101">
        <v>1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2"/>
      <c r="AW3" s="102"/>
      <c r="AX3" s="102"/>
      <c r="AY3" s="102"/>
      <c r="AZ3" s="100"/>
      <c r="BA3" s="100"/>
      <c r="BB3" s="100"/>
      <c r="BC3" s="100"/>
      <c r="BD3" s="100"/>
      <c r="BE3" s="100"/>
    </row>
    <row r="4" spans="1:73" ht="13.5" customHeight="1" thickBot="1">
      <c r="A4" s="5"/>
      <c r="B4" s="459">
        <f>+IF(S4=1,"DESACTUALIZADA","")</f>
      </c>
      <c r="C4" s="460"/>
      <c r="D4" s="460"/>
      <c r="E4" s="460"/>
      <c r="F4" s="460"/>
      <c r="G4" s="417">
        <f>+IF(BR2=0,"",CF7)</f>
      </c>
      <c r="H4" s="418"/>
      <c r="I4" s="418"/>
      <c r="J4" s="418"/>
      <c r="K4" s="418"/>
      <c r="L4" s="418"/>
      <c r="M4" s="418"/>
      <c r="N4" s="418"/>
      <c r="O4" s="418"/>
      <c r="P4" s="418"/>
      <c r="Q4" s="419"/>
      <c r="R4" s="23"/>
      <c r="S4" s="269">
        <f>+IF(R4="SI",1,0)</f>
        <v>0</v>
      </c>
      <c r="T4" s="269">
        <f>+IF(OR(N1="",BR2=1),2,0)</f>
        <v>2</v>
      </c>
      <c r="U4" s="27"/>
      <c r="Y4" s="352" t="s">
        <v>114</v>
      </c>
      <c r="Z4" s="352"/>
      <c r="AA4" s="353"/>
      <c r="AB4" s="76"/>
      <c r="AG4" s="101"/>
      <c r="AH4" s="101"/>
      <c r="AI4" s="101"/>
      <c r="AJ4" s="101"/>
      <c r="AK4" s="101"/>
      <c r="AL4" s="365" t="s">
        <v>60</v>
      </c>
      <c r="AM4" s="365" t="s">
        <v>61</v>
      </c>
      <c r="AN4" s="101"/>
      <c r="AO4" s="101" t="str">
        <f>+LOOKUP(AP4,AP5:AQ7)</f>
        <v>Abierto</v>
      </c>
      <c r="AP4" s="101">
        <f>+AQ4+AR4</f>
        <v>1</v>
      </c>
      <c r="AQ4" s="101">
        <f>+IF((AND((OR(M6=1,M6=2)),N8=8)),0,1)</f>
        <v>1</v>
      </c>
      <c r="AR4" s="101">
        <f>+IF(AND(AQ4=1,M6=3,Q7=2),-1,0)</f>
        <v>0</v>
      </c>
      <c r="AS4" s="101"/>
      <c r="AT4" s="101"/>
      <c r="AU4" s="101"/>
      <c r="AV4" s="103"/>
      <c r="AW4" s="103"/>
      <c r="AX4" s="103"/>
      <c r="AY4" s="103"/>
      <c r="AZ4" s="101"/>
      <c r="BA4" s="101"/>
      <c r="BB4" s="101"/>
      <c r="BC4" s="101"/>
      <c r="BD4" s="101"/>
      <c r="BE4" s="101"/>
      <c r="BP4" s="96">
        <f>+BM1-BM2</f>
        <v>-18</v>
      </c>
      <c r="BU4" s="104">
        <f>+IF(OR(BR2=0,BP4&gt;=30),"","Si")</f>
      </c>
    </row>
    <row r="5" spans="1:57" ht="3" customHeight="1">
      <c r="A5" s="47"/>
      <c r="D5" s="4"/>
      <c r="E5" s="4"/>
      <c r="F5" s="4"/>
      <c r="G5" s="4"/>
      <c r="H5" s="4"/>
      <c r="V5" s="4"/>
      <c r="W5" s="4"/>
      <c r="X5" s="4"/>
      <c r="Y5" s="4"/>
      <c r="AA5" s="33"/>
      <c r="AB5" s="76"/>
      <c r="AG5" s="101"/>
      <c r="AH5" s="101"/>
      <c r="AI5" s="101"/>
      <c r="AJ5" s="101"/>
      <c r="AK5" s="101"/>
      <c r="AL5" s="365"/>
      <c r="AM5" s="365"/>
      <c r="AN5" s="101"/>
      <c r="AO5" s="101"/>
      <c r="AP5" s="101"/>
      <c r="AQ5" s="101"/>
      <c r="AR5" s="101"/>
      <c r="AS5" s="101"/>
      <c r="AT5" s="101"/>
      <c r="AU5" s="101"/>
      <c r="AV5" s="103"/>
      <c r="AW5" s="103"/>
      <c r="AX5" s="103"/>
      <c r="AY5" s="103"/>
      <c r="AZ5" s="101"/>
      <c r="BA5" s="101"/>
      <c r="BB5" s="101"/>
      <c r="BC5" s="101"/>
      <c r="BD5" s="101"/>
      <c r="BE5" s="101"/>
    </row>
    <row r="6" spans="1:86" ht="15.75" customHeight="1">
      <c r="A6" s="47"/>
      <c r="C6" s="4"/>
      <c r="D6" s="381" t="s">
        <v>62</v>
      </c>
      <c r="E6" s="382"/>
      <c r="F6" s="382"/>
      <c r="G6" s="382"/>
      <c r="H6" s="382"/>
      <c r="I6" s="408"/>
      <c r="J6" s="409"/>
      <c r="K6" s="409"/>
      <c r="L6" s="410"/>
      <c r="M6" s="284">
        <f>+IF(I6="","",LOOKUP(I6,AS9:AT12))</f>
      </c>
      <c r="N6" s="420">
        <f>+IF(OR(I6="",N1=2),"","Ciudad")</f>
      </c>
      <c r="O6" s="421"/>
      <c r="P6" s="414"/>
      <c r="Q6" s="415"/>
      <c r="R6" s="416"/>
      <c r="S6" s="287">
        <f>+IF(J1="","",BZ27)</f>
      </c>
      <c r="T6" s="360">
        <f>+IF(I6="","","Tipo de Activ.")</f>
      </c>
      <c r="U6" s="377"/>
      <c r="V6" s="378"/>
      <c r="W6" s="379"/>
      <c r="X6" s="379"/>
      <c r="Y6" s="380"/>
      <c r="Z6" s="288">
        <f>IF(V6="","",LOOKUP(V6,CL7:CM8))</f>
      </c>
      <c r="AA6" s="34"/>
      <c r="AB6" s="78"/>
      <c r="AE6" s="95" t="s">
        <v>21</v>
      </c>
      <c r="AF6" s="96">
        <v>1</v>
      </c>
      <c r="AG6" s="101"/>
      <c r="AH6" s="101" t="s">
        <v>125</v>
      </c>
      <c r="AI6" s="101">
        <v>1</v>
      </c>
      <c r="AJ6" s="101"/>
      <c r="AK6" s="101"/>
      <c r="AL6" s="365"/>
      <c r="AM6" s="365"/>
      <c r="AN6" s="101"/>
      <c r="AO6" s="101"/>
      <c r="AP6" s="101">
        <v>0</v>
      </c>
      <c r="AQ6" s="101">
        <v>0</v>
      </c>
      <c r="AR6" s="101"/>
      <c r="AS6" s="101"/>
      <c r="AT6" s="101"/>
      <c r="AU6" s="101"/>
      <c r="AV6" s="103"/>
      <c r="AW6" s="103"/>
      <c r="AX6" s="103"/>
      <c r="AY6" s="103"/>
      <c r="AZ6" s="101"/>
      <c r="BA6" s="101"/>
      <c r="BB6" s="101"/>
      <c r="BC6" s="101"/>
      <c r="BD6" s="101"/>
      <c r="BE6" s="101"/>
      <c r="BU6" s="101"/>
      <c r="BV6" s="96">
        <v>1</v>
      </c>
      <c r="BW6" s="96">
        <v>2</v>
      </c>
      <c r="BX6" s="105">
        <f>+IF(BW6&gt;BV6,2,3)</f>
        <v>2</v>
      </c>
      <c r="CF6" s="96">
        <f>+CG6+CH6</f>
        <v>0</v>
      </c>
      <c r="CG6" s="96">
        <f>+IF(AND(BR2=1,BU4="si"),1,0)</f>
        <v>0</v>
      </c>
      <c r="CH6" s="96">
        <f>+IF(AND(BR2=1,BU4=""),2,0)</f>
        <v>0</v>
      </c>
    </row>
    <row r="7" spans="1:91" ht="9.75" customHeight="1">
      <c r="A7" s="47"/>
      <c r="D7" s="4"/>
      <c r="E7" s="4"/>
      <c r="F7" s="4"/>
      <c r="G7" s="4"/>
      <c r="H7" s="4"/>
      <c r="I7" s="4"/>
      <c r="J7" s="4"/>
      <c r="K7" s="4"/>
      <c r="L7" s="274">
        <f>+IF(OR(I6="",AND(P6="",N1=1),V6="",J1=""),0,1)</f>
        <v>0</v>
      </c>
      <c r="M7" s="27"/>
      <c r="N7" s="4"/>
      <c r="O7" s="4"/>
      <c r="Q7" s="282">
        <f>IF(OR(Q8="",M6&lt;3),0,VLOOKUP(Q8,AE6:AF7,2,FALSE))</f>
        <v>0</v>
      </c>
      <c r="R7" s="285">
        <v>1</v>
      </c>
      <c r="S7" s="32"/>
      <c r="V7" s="270">
        <f>IF(OR(V8="",M6&lt;&gt;4),0,VLOOKUP(V8,AE6:AF7,2,FALSE))</f>
        <v>0</v>
      </c>
      <c r="W7" s="32"/>
      <c r="Y7" s="40"/>
      <c r="Z7" s="40"/>
      <c r="AA7" s="33"/>
      <c r="AB7" s="76"/>
      <c r="AE7" s="95" t="s">
        <v>88</v>
      </c>
      <c r="AF7" s="96">
        <v>2</v>
      </c>
      <c r="AG7" s="101"/>
      <c r="AH7" s="101" t="s">
        <v>126</v>
      </c>
      <c r="AI7" s="101">
        <v>2</v>
      </c>
      <c r="AJ7" s="101"/>
      <c r="AK7" s="101"/>
      <c r="AL7" s="365"/>
      <c r="AM7" s="365"/>
      <c r="AN7" s="101"/>
      <c r="AO7" s="101"/>
      <c r="AP7" s="101">
        <v>1</v>
      </c>
      <c r="AQ7" s="101" t="s">
        <v>63</v>
      </c>
      <c r="AR7" s="101"/>
      <c r="AS7" s="101"/>
      <c r="AT7" s="101"/>
      <c r="AU7" s="101"/>
      <c r="AV7" s="103"/>
      <c r="AW7" s="103"/>
      <c r="AX7" s="103"/>
      <c r="AY7" s="103"/>
      <c r="AZ7" s="101"/>
      <c r="BA7" s="101"/>
      <c r="BB7" s="101"/>
      <c r="BC7" s="101"/>
      <c r="BD7" s="101"/>
      <c r="BE7" s="101"/>
      <c r="CF7" s="96" t="e">
        <f>LOOKUP(CF6,CF8:CG10)</f>
        <v>#N/A</v>
      </c>
      <c r="CK7" s="96" t="s">
        <v>218</v>
      </c>
      <c r="CL7" s="96" t="s">
        <v>179</v>
      </c>
      <c r="CM7" s="96">
        <v>2</v>
      </c>
    </row>
    <row r="8" spans="1:91" ht="15.75" customHeight="1">
      <c r="A8" s="5"/>
      <c r="C8" s="24"/>
      <c r="D8" s="381" t="s">
        <v>0</v>
      </c>
      <c r="E8" s="382"/>
      <c r="F8" s="382"/>
      <c r="G8" s="382"/>
      <c r="H8" s="427"/>
      <c r="I8" s="425"/>
      <c r="J8" s="425"/>
      <c r="K8" s="425"/>
      <c r="L8" s="426"/>
      <c r="M8" s="271">
        <f>+IF(OR(I8="",J1="",I6="",,V6="",AND(Z6=1,I8="Tipo 7",M6=""),AND(P6="",N1=1)),0,1)</f>
        <v>0</v>
      </c>
      <c r="N8" s="283">
        <f>+IF(I8="","",LOOKUP(I8,AR28:AS35))</f>
      </c>
      <c r="O8" s="383">
        <f>+IF(AND(OR(M6=4,M6=3),L7=1,I8&lt;&gt;""),"Activa Voz","")</f>
      </c>
      <c r="P8" s="384"/>
      <c r="Q8" s="209"/>
      <c r="R8" s="285">
        <v>2</v>
      </c>
      <c r="S8" s="383">
        <f>+IF(AND(M6=4,L7=1,O8&lt;&gt;"",Q8&lt;&gt;""),"Primera linea iPhone","")</f>
      </c>
      <c r="T8" s="383"/>
      <c r="U8" s="384"/>
      <c r="V8" s="209"/>
      <c r="W8" s="264"/>
      <c r="Y8" s="390">
        <f>+IF(I8="","","Limite Online")</f>
      </c>
      <c r="Z8" s="343">
        <f>+IF(I8="","","Limite Diferida")</f>
      </c>
      <c r="AA8" s="35"/>
      <c r="AB8" s="364" t="s">
        <v>58</v>
      </c>
      <c r="AC8" s="332" t="s">
        <v>25</v>
      </c>
      <c r="AD8" s="332" t="s">
        <v>59</v>
      </c>
      <c r="AE8" s="332" t="s">
        <v>26</v>
      </c>
      <c r="AG8" s="101"/>
      <c r="AH8" s="101"/>
      <c r="AI8" s="101"/>
      <c r="AJ8" s="101"/>
      <c r="AK8" s="101"/>
      <c r="AL8" s="365"/>
      <c r="AM8" s="365"/>
      <c r="AN8" s="101"/>
      <c r="AO8" s="101"/>
      <c r="AP8" s="101"/>
      <c r="AQ8" s="101"/>
      <c r="AR8" s="101"/>
      <c r="AS8" s="101"/>
      <c r="AT8" s="101"/>
      <c r="AU8" s="101"/>
      <c r="AV8" s="103" t="s">
        <v>5</v>
      </c>
      <c r="AW8" s="103" t="s">
        <v>3</v>
      </c>
      <c r="AX8" s="103" t="s">
        <v>4</v>
      </c>
      <c r="AY8" s="103" t="s">
        <v>18</v>
      </c>
      <c r="AZ8" s="101"/>
      <c r="BA8" s="101"/>
      <c r="BB8" s="101"/>
      <c r="BC8" s="403" t="s">
        <v>17</v>
      </c>
      <c r="BD8" s="404"/>
      <c r="BE8" s="405"/>
      <c r="BF8" s="373" t="s">
        <v>16</v>
      </c>
      <c r="BG8" s="374"/>
      <c r="BH8" s="375"/>
      <c r="BI8" s="373" t="s">
        <v>15</v>
      </c>
      <c r="BJ8" s="374"/>
      <c r="BK8" s="375"/>
      <c r="BO8" s="367" t="s">
        <v>92</v>
      </c>
      <c r="BP8" s="367"/>
      <c r="CF8" s="96">
        <v>1</v>
      </c>
      <c r="CG8" s="96" t="s">
        <v>106</v>
      </c>
      <c r="CK8" s="96" t="s">
        <v>179</v>
      </c>
      <c r="CL8" s="96" t="s">
        <v>218</v>
      </c>
      <c r="CM8" s="96">
        <v>1</v>
      </c>
    </row>
    <row r="9" spans="1:85" ht="9.75" customHeight="1">
      <c r="A9" s="5"/>
      <c r="D9" s="22"/>
      <c r="E9" s="22"/>
      <c r="F9" s="22"/>
      <c r="G9" s="22"/>
      <c r="H9" s="22"/>
      <c r="I9" s="70"/>
      <c r="J9" s="4"/>
      <c r="K9" s="272">
        <f>+IF(I8="",0,1)</f>
        <v>0</v>
      </c>
      <c r="L9" s="218"/>
      <c r="M9" s="27"/>
      <c r="N9" s="282"/>
      <c r="P9" s="220"/>
      <c r="Q9" s="282">
        <f>+IF(AND(O8&lt;&gt;"",Q8=""),-1,0)</f>
        <v>0</v>
      </c>
      <c r="R9" s="286">
        <f>+IF(M6="","",LOOKUP(M6,AD28:AE31))</f>
      </c>
      <c r="S9" s="286">
        <v>1.2</v>
      </c>
      <c r="T9" s="286">
        <v>1.16</v>
      </c>
      <c r="U9" s="226"/>
      <c r="V9" s="269">
        <f>+IF(AND(S8&lt;&gt;"",V8=""),-1,0)</f>
        <v>0</v>
      </c>
      <c r="Y9" s="391"/>
      <c r="Z9" s="344"/>
      <c r="AA9" s="35"/>
      <c r="AB9" s="364"/>
      <c r="AC9" s="332"/>
      <c r="AD9" s="332"/>
      <c r="AE9" s="332"/>
      <c r="AG9" s="101"/>
      <c r="AH9" s="101"/>
      <c r="AI9" s="101"/>
      <c r="AJ9" s="101"/>
      <c r="AK9" s="101"/>
      <c r="AL9" s="365"/>
      <c r="AM9" s="365"/>
      <c r="AN9" s="101"/>
      <c r="AO9" s="101"/>
      <c r="AP9" s="101" t="str">
        <f>+IF(AND(M6=3,Q7=2),"","Mixto")</f>
        <v>Mixto</v>
      </c>
      <c r="AQ9" s="101">
        <v>1</v>
      </c>
      <c r="AR9" s="101"/>
      <c r="AS9" s="101" t="s">
        <v>224</v>
      </c>
      <c r="AT9" s="101">
        <v>3</v>
      </c>
      <c r="AU9" s="101"/>
      <c r="AV9" s="103"/>
      <c r="AW9" s="103"/>
      <c r="AX9" s="103"/>
      <c r="AY9" s="103"/>
      <c r="AZ9" s="101"/>
      <c r="BA9" s="101"/>
      <c r="BB9" s="101"/>
      <c r="BC9" s="106" t="s">
        <v>29</v>
      </c>
      <c r="BD9" s="107" t="s">
        <v>27</v>
      </c>
      <c r="BE9" s="108" t="s">
        <v>28</v>
      </c>
      <c r="BF9" s="109" t="s">
        <v>29</v>
      </c>
      <c r="BG9" s="110" t="s">
        <v>27</v>
      </c>
      <c r="BH9" s="111" t="s">
        <v>28</v>
      </c>
      <c r="BI9" s="109" t="s">
        <v>29</v>
      </c>
      <c r="BJ9" s="110" t="s">
        <v>27</v>
      </c>
      <c r="BK9" s="111" t="s">
        <v>28</v>
      </c>
      <c r="BO9" s="96" t="s">
        <v>90</v>
      </c>
      <c r="BP9" s="96" t="s">
        <v>91</v>
      </c>
      <c r="CF9" s="96">
        <v>2</v>
      </c>
      <c r="CG9" s="96" t="s">
        <v>107</v>
      </c>
    </row>
    <row r="10" spans="1:82" ht="15.75" customHeight="1">
      <c r="A10" s="5"/>
      <c r="D10" s="381" t="s">
        <v>1</v>
      </c>
      <c r="E10" s="382"/>
      <c r="F10" s="382"/>
      <c r="G10" s="382"/>
      <c r="H10" s="382"/>
      <c r="I10" s="329"/>
      <c r="J10" s="330"/>
      <c r="K10" s="330"/>
      <c r="L10" s="331"/>
      <c r="M10" s="271">
        <f>+IF(OR(I10="",U10&lt;&gt;0),0,1)</f>
        <v>0</v>
      </c>
      <c r="N10" s="283">
        <f>+IF(I10="","",LOOKUP(I10,AV59:AW64))</f>
      </c>
      <c r="O10" s="270">
        <f>+IF(N12="Tipo de plan",1,0)</f>
        <v>0</v>
      </c>
      <c r="P10" s="360">
        <f>+IF(AND(OR(I10="Muy bueno",I10="Bueno"),OR(N8=1,AND(N1=1,N8=2)),M6=4),"Antigüedad","")</f>
      </c>
      <c r="Q10" s="377"/>
      <c r="R10" s="422"/>
      <c r="S10" s="423"/>
      <c r="T10" s="424"/>
      <c r="U10" s="275">
        <f>+IF(AND(P10&lt;&gt;"",R10=""),-1,0)</f>
        <v>0</v>
      </c>
      <c r="V10" s="277">
        <f>+IF(OR(P10="",R10=""),"",LOOKUP(R10,AH5:AI7))</f>
      </c>
      <c r="W10" s="9"/>
      <c r="X10" s="9"/>
      <c r="Y10" s="391"/>
      <c r="Z10" s="344"/>
      <c r="AA10" s="35"/>
      <c r="AB10" s="364"/>
      <c r="AC10" s="332"/>
      <c r="AD10" s="332"/>
      <c r="AE10" s="332"/>
      <c r="AG10" s="101"/>
      <c r="AH10" s="101"/>
      <c r="AI10" s="101">
        <v>1</v>
      </c>
      <c r="AJ10" s="363" t="s">
        <v>41</v>
      </c>
      <c r="AK10" s="363"/>
      <c r="AL10" s="101">
        <f>+IF(N1=2,5,10)</f>
        <v>10</v>
      </c>
      <c r="AM10" s="101">
        <f>+IF(N1=2,1,2)</f>
        <v>2</v>
      </c>
      <c r="AN10" s="101">
        <f>+AL10+AM10</f>
        <v>12</v>
      </c>
      <c r="AO10" s="101"/>
      <c r="AP10" s="101" t="str">
        <f>+IF(AO4=0,"",AO4)</f>
        <v>Abierto</v>
      </c>
      <c r="AQ10" s="101">
        <v>2</v>
      </c>
      <c r="AR10" s="101"/>
      <c r="AS10" s="101" t="s">
        <v>112</v>
      </c>
      <c r="AT10" s="101">
        <v>4</v>
      </c>
      <c r="AU10" s="101"/>
      <c r="AV10" s="103">
        <f>+IF(AND(T4=2,S4=0),"","Tipo A")</f>
      </c>
      <c r="AW10" s="112" t="s">
        <v>12</v>
      </c>
      <c r="AX10" s="103">
        <v>0</v>
      </c>
      <c r="AY10" s="103" t="s">
        <v>21</v>
      </c>
      <c r="AZ10" s="101"/>
      <c r="BA10" s="101"/>
      <c r="BB10" s="101"/>
      <c r="BC10" s="113">
        <v>0</v>
      </c>
      <c r="BD10" s="114">
        <v>0</v>
      </c>
      <c r="BE10" s="115">
        <v>0</v>
      </c>
      <c r="BF10" s="116">
        <v>0</v>
      </c>
      <c r="BG10" s="117">
        <v>0</v>
      </c>
      <c r="BH10" s="118">
        <v>0</v>
      </c>
      <c r="BI10" s="116">
        <v>0</v>
      </c>
      <c r="BJ10" s="117">
        <v>0</v>
      </c>
      <c r="BK10" s="118">
        <v>0</v>
      </c>
      <c r="BO10" s="96">
        <v>0</v>
      </c>
      <c r="BP10" s="96">
        <v>0</v>
      </c>
      <c r="BX10" s="98">
        <v>41244</v>
      </c>
      <c r="BY10" s="98">
        <v>41274</v>
      </c>
      <c r="BZ10" s="96" t="s">
        <v>110</v>
      </c>
      <c r="CC10" s="96" t="s">
        <v>170</v>
      </c>
      <c r="CD10" s="98">
        <v>41394</v>
      </c>
    </row>
    <row r="11" spans="1:82" ht="2.25" customHeight="1">
      <c r="A11" s="5"/>
      <c r="D11" s="3"/>
      <c r="E11" s="3"/>
      <c r="F11" s="3"/>
      <c r="G11" s="3"/>
      <c r="H11" s="3"/>
      <c r="I11" s="8"/>
      <c r="L11" s="4"/>
      <c r="M11" s="16"/>
      <c r="N11" s="17"/>
      <c r="P11" s="4"/>
      <c r="Q11" s="9"/>
      <c r="S11" s="27"/>
      <c r="T11" s="27"/>
      <c r="U11" s="27"/>
      <c r="V11" s="27"/>
      <c r="W11" s="9"/>
      <c r="X11" s="9"/>
      <c r="Y11" s="391"/>
      <c r="Z11" s="344"/>
      <c r="AA11" s="35"/>
      <c r="AB11" s="364"/>
      <c r="AC11" s="332"/>
      <c r="AD11" s="332"/>
      <c r="AE11" s="332"/>
      <c r="AG11" s="101"/>
      <c r="AH11" s="101"/>
      <c r="AI11" s="101">
        <v>2</v>
      </c>
      <c r="AJ11" s="363" t="s">
        <v>42</v>
      </c>
      <c r="AK11" s="363"/>
      <c r="AL11" s="101">
        <f>+IF(N1=2,2,3)</f>
        <v>3</v>
      </c>
      <c r="AM11" s="101">
        <f>+IF(N1=2,1,2)</f>
        <v>2</v>
      </c>
      <c r="AN11" s="101">
        <f>+AL11+AM11</f>
        <v>5</v>
      </c>
      <c r="AO11" s="101"/>
      <c r="AP11" s="101"/>
      <c r="AQ11" s="101">
        <v>0</v>
      </c>
      <c r="AR11" s="101"/>
      <c r="AS11" s="101" t="s">
        <v>78</v>
      </c>
      <c r="AT11" s="101">
        <v>1</v>
      </c>
      <c r="AU11" s="101"/>
      <c r="AV11" s="103">
        <f>+IF(AND(T4=2,S4=0),"","Tipo B")</f>
      </c>
      <c r="AW11" s="112" t="s">
        <v>23</v>
      </c>
      <c r="AX11" s="103">
        <v>1</v>
      </c>
      <c r="AY11" s="103">
        <f>+IF(OR(AND(M6=4,D24&lt;&gt;"",I16&gt;=1),AND(M6=2,D24&lt;&gt;"",I16&gt;=1)),"No","")</f>
      </c>
      <c r="AZ11" s="101"/>
      <c r="BA11" s="101"/>
      <c r="BB11" s="119" t="s">
        <v>121</v>
      </c>
      <c r="BC11" s="113">
        <v>1</v>
      </c>
      <c r="BD11" s="114">
        <f>+IF(N1=2,2,3)</f>
        <v>3</v>
      </c>
      <c r="BE11" s="115">
        <f>+IF(N1=2,1,2)</f>
        <v>2</v>
      </c>
      <c r="BF11" s="116">
        <v>1</v>
      </c>
      <c r="BG11" s="117">
        <f>+IF(N1=2,3,5)</f>
        <v>5</v>
      </c>
      <c r="BH11" s="118">
        <f>+IF(N1=2,1,2)</f>
        <v>2</v>
      </c>
      <c r="BI11" s="116">
        <v>1</v>
      </c>
      <c r="BJ11" s="117">
        <f>+IF(N1=2,5,10)</f>
        <v>10</v>
      </c>
      <c r="BK11" s="118">
        <f>+IF(N1=2,1,2)</f>
        <v>2</v>
      </c>
      <c r="BL11" s="96">
        <f>+BD11+BG11+BJ11</f>
        <v>18</v>
      </c>
      <c r="BO11" s="96">
        <v>1</v>
      </c>
      <c r="BP11" s="96">
        <v>1</v>
      </c>
      <c r="BX11" s="98">
        <v>41275</v>
      </c>
      <c r="BY11" s="98">
        <v>41305</v>
      </c>
      <c r="BZ11" s="96" t="s">
        <v>167</v>
      </c>
      <c r="CC11" s="96" t="s">
        <v>174</v>
      </c>
      <c r="CD11" s="98">
        <v>41517</v>
      </c>
    </row>
    <row r="12" spans="1:82" ht="10.5" customHeight="1">
      <c r="A12" s="5"/>
      <c r="D12" s="22"/>
      <c r="E12" s="22"/>
      <c r="F12" s="22"/>
      <c r="G12" s="22"/>
      <c r="H12" s="22"/>
      <c r="I12" s="8"/>
      <c r="N12" s="402">
        <f>+IF(AND(I13&lt;&gt;"",OR(M6=1,M6=2,AND(M6=4,Q7&lt;&gt;2),AND(M6=3,Q7&lt;&gt;2))),"Tipo de plan","")</f>
      </c>
      <c r="O12" s="402"/>
      <c r="Q12" s="393"/>
      <c r="R12" s="393"/>
      <c r="S12" s="393"/>
      <c r="T12" s="393"/>
      <c r="U12" s="393"/>
      <c r="V12" s="393"/>
      <c r="W12" s="393"/>
      <c r="X12" s="9"/>
      <c r="Y12" s="391"/>
      <c r="Z12" s="344"/>
      <c r="AA12" s="35"/>
      <c r="AB12" s="364"/>
      <c r="AC12" s="332"/>
      <c r="AD12" s="332"/>
      <c r="AE12" s="332"/>
      <c r="AG12" s="101"/>
      <c r="AH12" s="101"/>
      <c r="AI12" s="101">
        <v>3</v>
      </c>
      <c r="AJ12" s="363" t="s">
        <v>43</v>
      </c>
      <c r="AK12" s="363"/>
      <c r="AL12" s="101">
        <v>1</v>
      </c>
      <c r="AM12" s="101">
        <f>+AM22+AN22</f>
        <v>0</v>
      </c>
      <c r="AN12" s="101">
        <f>+AL12+AM12</f>
        <v>1</v>
      </c>
      <c r="AO12" s="101"/>
      <c r="AP12" s="101" t="s">
        <v>63</v>
      </c>
      <c r="AQ12" s="101">
        <v>2</v>
      </c>
      <c r="AR12" s="101"/>
      <c r="AS12" s="101" t="s">
        <v>163</v>
      </c>
      <c r="AT12" s="101">
        <v>2</v>
      </c>
      <c r="AU12" s="101"/>
      <c r="AV12" s="103">
        <f>+IF(AND(T4=2,S4=0),"","Tipo C")</f>
      </c>
      <c r="AW12" s="112" t="s">
        <v>89</v>
      </c>
      <c r="AX12" s="103">
        <v>2</v>
      </c>
      <c r="AY12" s="103"/>
      <c r="AZ12" s="101"/>
      <c r="BA12" s="101"/>
      <c r="BB12" s="119" t="s">
        <v>122</v>
      </c>
      <c r="BC12" s="113">
        <v>2</v>
      </c>
      <c r="BD12" s="114">
        <f>+IF(N1=2,0,1)</f>
        <v>1</v>
      </c>
      <c r="BE12" s="115">
        <f>+IF(N1=2,0,2)</f>
        <v>2</v>
      </c>
      <c r="BF12" s="116">
        <v>2</v>
      </c>
      <c r="BG12" s="117">
        <f>+IF(N1=2,1,2)</f>
        <v>2</v>
      </c>
      <c r="BH12" s="118">
        <f>+IF(N1=2,1,2)</f>
        <v>2</v>
      </c>
      <c r="BI12" s="116">
        <v>2</v>
      </c>
      <c r="BJ12" s="117">
        <f>+IF(N1=2,2,3)</f>
        <v>3</v>
      </c>
      <c r="BK12" s="118">
        <f>+IF(N1=2,1,2)</f>
        <v>2</v>
      </c>
      <c r="BL12" s="96">
        <f aca="true" t="shared" si="0" ref="BL12:BL17">+BD12+BG12+BJ12</f>
        <v>6</v>
      </c>
      <c r="BO12" s="96">
        <v>2</v>
      </c>
      <c r="BP12" s="96">
        <v>3</v>
      </c>
      <c r="BX12" s="98">
        <v>41306</v>
      </c>
      <c r="BY12" s="98">
        <v>41333</v>
      </c>
      <c r="BZ12" s="96" t="s">
        <v>168</v>
      </c>
      <c r="CC12" s="96" t="s">
        <v>110</v>
      </c>
      <c r="CD12" s="98">
        <v>41274</v>
      </c>
    </row>
    <row r="13" spans="1:82" ht="15.75" customHeight="1">
      <c r="A13" s="5"/>
      <c r="D13" s="381" t="s">
        <v>256</v>
      </c>
      <c r="E13" s="382"/>
      <c r="F13" s="382"/>
      <c r="G13" s="382"/>
      <c r="H13" s="382"/>
      <c r="I13" s="395"/>
      <c r="J13" s="396"/>
      <c r="K13" s="396"/>
      <c r="L13" s="397"/>
      <c r="M13" s="273">
        <f>+AR42</f>
        <v>0</v>
      </c>
      <c r="N13" s="351"/>
      <c r="O13" s="351"/>
      <c r="P13" s="282">
        <f>+IF(L17&lt;&gt;4,"",AP37)</f>
      </c>
      <c r="Q13" s="181">
        <f>+IF(I13="","","Gama")</f>
      </c>
      <c r="R13" s="182">
        <f>+IF(I13&gt;1,(LOOKUP(V13,AV29:AW32)),"")</f>
      </c>
      <c r="S13" s="283">
        <f>+IF(OR(I13="$0 a $96.280",I13="$0 a $99.600",I13="$0 a $83.000"),1,0)</f>
        <v>0</v>
      </c>
      <c r="T13" s="283">
        <f>+IF(OR(I13="$96.281 a $170.520",I13="$99.601 a $176.400",I13="$83.001 a $147.000"),2,0)</f>
        <v>0</v>
      </c>
      <c r="U13" s="283">
        <f>+IF(OR(I13="Mas de $170.520",I13="Mas de $176.400",I13="Mas de $147.001"),3,0)</f>
        <v>0</v>
      </c>
      <c r="V13" s="283">
        <f>+S13+T13+U13</f>
        <v>0</v>
      </c>
      <c r="W13" s="13"/>
      <c r="X13" s="13"/>
      <c r="Y13" s="391"/>
      <c r="Z13" s="344"/>
      <c r="AA13" s="35"/>
      <c r="AB13" s="364"/>
      <c r="AC13" s="332"/>
      <c r="AD13" s="332"/>
      <c r="AE13" s="332"/>
      <c r="AG13" s="101"/>
      <c r="AH13" s="101"/>
      <c r="AI13" s="101">
        <v>4</v>
      </c>
      <c r="AJ13" s="363" t="s">
        <v>44</v>
      </c>
      <c r="AK13" s="363"/>
      <c r="AL13" s="101">
        <f>+IF(P13=2,0,1)</f>
        <v>1</v>
      </c>
      <c r="AM13" s="101">
        <v>0</v>
      </c>
      <c r="AN13" s="101">
        <f>+AL13+AM13</f>
        <v>1</v>
      </c>
      <c r="AO13" s="101"/>
      <c r="AP13" s="101" t="s">
        <v>97</v>
      </c>
      <c r="AQ13" s="101">
        <v>1</v>
      </c>
      <c r="AR13" s="101"/>
      <c r="AS13" s="101"/>
      <c r="AT13" s="101"/>
      <c r="AU13" s="101"/>
      <c r="AV13" s="103">
        <f>+IF(AND(T4=2,S4=0),"","Tipo D")</f>
      </c>
      <c r="AW13" s="112" t="s">
        <v>13</v>
      </c>
      <c r="AX13" s="103">
        <v>3</v>
      </c>
      <c r="AY13" s="103"/>
      <c r="AZ13" s="101"/>
      <c r="BA13" s="101"/>
      <c r="BB13" s="119" t="s">
        <v>123</v>
      </c>
      <c r="BC13" s="106">
        <v>3</v>
      </c>
      <c r="BD13" s="120">
        <v>0</v>
      </c>
      <c r="BE13" s="121">
        <v>0</v>
      </c>
      <c r="BF13" s="109">
        <v>3</v>
      </c>
      <c r="BG13" s="122">
        <v>1</v>
      </c>
      <c r="BH13" s="123">
        <f>+IF(N1=2,1,2)</f>
        <v>2</v>
      </c>
      <c r="BI13" s="109">
        <v>3</v>
      </c>
      <c r="BJ13" s="122">
        <v>1</v>
      </c>
      <c r="BK13" s="123">
        <f>+IF(N1=2,1,2)</f>
        <v>2</v>
      </c>
      <c r="BL13" s="96">
        <f t="shared" si="0"/>
        <v>2</v>
      </c>
      <c r="BO13" s="96">
        <v>3</v>
      </c>
      <c r="BP13" s="96">
        <v>3</v>
      </c>
      <c r="BX13" s="98">
        <v>41334</v>
      </c>
      <c r="BY13" s="98">
        <v>41364</v>
      </c>
      <c r="BZ13" s="96" t="s">
        <v>169</v>
      </c>
      <c r="CC13" s="96" t="s">
        <v>178</v>
      </c>
      <c r="CD13" s="98">
        <v>41639</v>
      </c>
    </row>
    <row r="14" spans="1:82" ht="2.25" customHeight="1">
      <c r="A14" s="5"/>
      <c r="D14" s="3"/>
      <c r="E14" s="3"/>
      <c r="F14" s="3"/>
      <c r="G14" s="3"/>
      <c r="H14" s="3"/>
      <c r="I14" s="18"/>
      <c r="J14" s="18"/>
      <c r="K14" s="18"/>
      <c r="L14" s="14"/>
      <c r="P14" s="15"/>
      <c r="Q14" s="22"/>
      <c r="S14" s="14"/>
      <c r="T14" s="14"/>
      <c r="U14" s="14"/>
      <c r="V14" s="14"/>
      <c r="W14" s="9"/>
      <c r="X14" s="9"/>
      <c r="Y14" s="392"/>
      <c r="Z14" s="345"/>
      <c r="AA14" s="35"/>
      <c r="AB14" s="79"/>
      <c r="AC14" s="124"/>
      <c r="AD14" s="124"/>
      <c r="AE14" s="124"/>
      <c r="AG14" s="101"/>
      <c r="AH14" s="101"/>
      <c r="AI14" s="101">
        <v>5</v>
      </c>
      <c r="AJ14" s="363" t="s">
        <v>45</v>
      </c>
      <c r="AK14" s="363"/>
      <c r="AL14" s="101">
        <f>+IF(P13=2,0,1)</f>
        <v>1</v>
      </c>
      <c r="AM14" s="101">
        <v>0</v>
      </c>
      <c r="AN14" s="101">
        <v>3</v>
      </c>
      <c r="AO14" s="101"/>
      <c r="AP14" s="101"/>
      <c r="AQ14" s="101"/>
      <c r="AR14" s="101"/>
      <c r="AS14" s="101"/>
      <c r="AT14" s="101"/>
      <c r="AU14" s="101"/>
      <c r="AV14" s="103">
        <f>+IF(AND(T4=2,S4=0),"","Tipo P")</f>
      </c>
      <c r="AW14" s="112" t="s">
        <v>14</v>
      </c>
      <c r="AX14" s="103">
        <v>4</v>
      </c>
      <c r="AY14" s="103" t="s">
        <v>88</v>
      </c>
      <c r="AZ14" s="101">
        <v>2</v>
      </c>
      <c r="BA14" s="101"/>
      <c r="BB14" s="119" t="s">
        <v>28</v>
      </c>
      <c r="BC14" s="106">
        <v>4</v>
      </c>
      <c r="BD14" s="120">
        <v>0</v>
      </c>
      <c r="BE14" s="121">
        <v>0</v>
      </c>
      <c r="BF14" s="109">
        <v>4</v>
      </c>
      <c r="BG14" s="122">
        <v>0</v>
      </c>
      <c r="BH14" s="123">
        <v>0</v>
      </c>
      <c r="BI14" s="109">
        <v>4</v>
      </c>
      <c r="BJ14" s="122">
        <v>1</v>
      </c>
      <c r="BK14" s="123">
        <v>0</v>
      </c>
      <c r="BL14" s="96">
        <f t="shared" si="0"/>
        <v>1</v>
      </c>
      <c r="BO14" s="96">
        <v>4</v>
      </c>
      <c r="BP14" s="96">
        <v>2</v>
      </c>
      <c r="BX14" s="98">
        <v>41365</v>
      </c>
      <c r="BY14" s="98">
        <v>41394</v>
      </c>
      <c r="BZ14" s="96" t="s">
        <v>170</v>
      </c>
      <c r="CC14" s="96" t="s">
        <v>167</v>
      </c>
      <c r="CD14" s="98">
        <v>41305</v>
      </c>
    </row>
    <row r="15" spans="1:82" ht="15.75" customHeight="1">
      <c r="A15" s="5"/>
      <c r="D15" s="22"/>
      <c r="E15" s="22"/>
      <c r="F15" s="22"/>
      <c r="G15" s="22"/>
      <c r="H15" s="22"/>
      <c r="I15" s="8"/>
      <c r="L15" s="27"/>
      <c r="N15" s="285">
        <f>+IF(N13="",1,2)</f>
        <v>1</v>
      </c>
      <c r="O15" s="4"/>
      <c r="Q15" s="388" t="str">
        <f>+IF(I16=T15,"Alta","Alta ---&gt;")</f>
        <v>Alta</v>
      </c>
      <c r="R15" s="389"/>
      <c r="S15" s="174"/>
      <c r="T15" s="269">
        <f>+SUM(S15:S17)</f>
        <v>0</v>
      </c>
      <c r="U15" s="270">
        <f>IF(AP40&lt;&gt;"",1,0)</f>
        <v>0</v>
      </c>
      <c r="V15" s="270">
        <f>IF(AND(I16&lt;&gt;T15,U15=0,OR(AM39&lt;&gt;"",AN39&lt;&gt;"",AO39&lt;&gt;"",AP39&lt;&gt;"",AQ39&lt;&gt;"",AR39&lt;&gt;"",AM40&lt;&gt;"",AN40&lt;&gt;"",AO40&lt;&gt;"",AQ40&lt;&gt;"",AR40&lt;&gt;"",AS40&lt;&gt;"",AT40&lt;&gt;"",AU40&lt;&gt;"",AV40&lt;&gt;"",AW40&lt;&gt;"",AT39&lt;&gt;"")),1,0)</f>
        <v>0</v>
      </c>
      <c r="W15" s="283">
        <f>+IF(V13=3,S15+1,S15)</f>
        <v>0</v>
      </c>
      <c r="X15" s="7">
        <f>+W15-S15</f>
        <v>0</v>
      </c>
      <c r="Y15" s="41">
        <f>+IF(I8="","",LOOKUP(N8,BC10:BD17))</f>
      </c>
      <c r="Z15" s="44">
        <f>+IF(I8="","",LOOKUP(N8,BC10:BE17))</f>
      </c>
      <c r="AA15" s="73" t="e">
        <f>+Y15+Z15</f>
        <v>#VALUE!</v>
      </c>
      <c r="AB15" s="80" t="e">
        <f>+IF(OR($X$15&gt;$Y$17,X15&gt;Y15,W20&gt;AL20,(AND(U13=3,W15&gt;Y15))),0,W15)</f>
        <v>#N/A</v>
      </c>
      <c r="AC15" s="96" t="e">
        <f>+IF(W15&gt;AB15,W15-AB15,0)</f>
        <v>#N/A</v>
      </c>
      <c r="AD15" s="117" t="e">
        <f>+IF(OR($X$15&gt;($Z$15+Y15),I10="Regular",I10="Alto riesgo",W20&gt;AN20,I10="Sin habito de pago",(AND(U13=3,W15&gt;AA15))),0,W15)</f>
        <v>#VALUE!</v>
      </c>
      <c r="AE15" s="96" t="e">
        <f>+IF(W15&gt;AD15,W15-AD15,0)</f>
        <v>#VALUE!</v>
      </c>
      <c r="AG15" s="101"/>
      <c r="AH15" s="101"/>
      <c r="AI15" s="101">
        <v>6</v>
      </c>
      <c r="AJ15" s="363" t="s">
        <v>46</v>
      </c>
      <c r="AK15" s="363"/>
      <c r="AL15" s="101">
        <f>+IF(P13=2,0,1)</f>
        <v>1</v>
      </c>
      <c r="AM15" s="101">
        <f>+IF(P13=2,0,1)</f>
        <v>1</v>
      </c>
      <c r="AN15" s="101">
        <f>+AL15+AM15</f>
        <v>2</v>
      </c>
      <c r="AO15" s="101"/>
      <c r="AP15" s="101"/>
      <c r="AQ15" s="101"/>
      <c r="AR15" s="101"/>
      <c r="AS15" s="101"/>
      <c r="AT15" s="101"/>
      <c r="AU15" s="101"/>
      <c r="AV15" s="103">
        <f>+IF(AND(T4=2,S4=0),"","Tipo 5")</f>
      </c>
      <c r="AW15" s="103"/>
      <c r="AX15" s="103">
        <v>5</v>
      </c>
      <c r="AY15" s="103" t="s">
        <v>21</v>
      </c>
      <c r="AZ15" s="101">
        <v>1</v>
      </c>
      <c r="BA15" s="101"/>
      <c r="BB15" s="119" t="s">
        <v>124</v>
      </c>
      <c r="BC15" s="106">
        <v>5</v>
      </c>
      <c r="BD15" s="120">
        <v>0</v>
      </c>
      <c r="BE15" s="121">
        <v>0</v>
      </c>
      <c r="BF15" s="109">
        <v>5</v>
      </c>
      <c r="BG15" s="122">
        <v>0</v>
      </c>
      <c r="BH15" s="123">
        <v>0</v>
      </c>
      <c r="BI15" s="109">
        <v>5</v>
      </c>
      <c r="BJ15" s="122">
        <v>1</v>
      </c>
      <c r="BK15" s="123">
        <v>0</v>
      </c>
      <c r="BL15" s="96">
        <f t="shared" si="0"/>
        <v>1</v>
      </c>
      <c r="BO15" s="96">
        <v>5</v>
      </c>
      <c r="BP15" s="96">
        <v>0</v>
      </c>
      <c r="BX15" s="98">
        <v>41395</v>
      </c>
      <c r="BY15" s="98">
        <v>41425</v>
      </c>
      <c r="BZ15" s="96" t="s">
        <v>171</v>
      </c>
      <c r="CC15" s="96" t="s">
        <v>168</v>
      </c>
      <c r="CD15" s="98">
        <v>41333</v>
      </c>
    </row>
    <row r="16" spans="1:82" ht="15.75" customHeight="1">
      <c r="A16" s="5"/>
      <c r="C16" s="24"/>
      <c r="D16" s="381" t="s">
        <v>2</v>
      </c>
      <c r="E16" s="382"/>
      <c r="F16" s="382"/>
      <c r="G16" s="382"/>
      <c r="H16" s="382"/>
      <c r="I16" s="329"/>
      <c r="J16" s="330"/>
      <c r="K16" s="331"/>
      <c r="L16" s="271">
        <f>+IF(OR(I16="",I16&lt;&gt;T15,AND(N10&gt;1,I16=0)),0,1)</f>
        <v>0</v>
      </c>
      <c r="M16" s="161"/>
      <c r="N16" s="385" t="str">
        <f>+IF(I16=1,"Indique la gama","Indique las gamas")</f>
        <v>Indique las gamas</v>
      </c>
      <c r="O16" s="386"/>
      <c r="P16" s="387"/>
      <c r="Q16" s="340" t="str">
        <f>+IF(I16=T15,"Media","Media ---&gt;")</f>
        <v>Media</v>
      </c>
      <c r="R16" s="341"/>
      <c r="S16" s="175"/>
      <c r="T16" s="337">
        <f>+IF(I16=T15,"",AM38)</f>
      </c>
      <c r="U16" s="338"/>
      <c r="V16" s="338"/>
      <c r="W16" s="283">
        <f>+IF(V13=2,S16+1,S16)</f>
        <v>0</v>
      </c>
      <c r="X16" s="7">
        <f>+W16-S16</f>
        <v>0</v>
      </c>
      <c r="Y16" s="42">
        <f>+IF(I8="","",LOOKUP(N8,BF10:BG17))</f>
      </c>
      <c r="Z16" s="45">
        <f>+IF(I8="","",LOOKUP(N8,BF10:BH17))</f>
      </c>
      <c r="AA16" s="73" t="e">
        <f>+Y16+Z16</f>
        <v>#VALUE!</v>
      </c>
      <c r="AB16" s="80" t="e">
        <f>+IF(OR($X$16&gt;$Y$17,X16&gt;Y16,W20&gt;AL20,W16&gt;Y16,(AND(T13=2,W16&gt;Y16))),0,W16)</f>
        <v>#N/A</v>
      </c>
      <c r="AC16" s="96" t="e">
        <f>+IF(W16&gt;AB16,W16-AB16,0)</f>
        <v>#N/A</v>
      </c>
      <c r="AD16" s="117" t="e">
        <f>+IF(OR($X$16&gt;($Z$16+Y16),I10="Regular",I10="Alto riesgo",W20&gt;AN20,I10="Sin habito de pago",(AND(T13=2,W16&gt;AA16))),0,W16)</f>
        <v>#VALUE!</v>
      </c>
      <c r="AE16" s="96" t="e">
        <f>+IF(W16&gt;AD16,W16-AD16,0)</f>
        <v>#VALUE!</v>
      </c>
      <c r="AG16" s="101"/>
      <c r="AH16" s="101"/>
      <c r="AI16" s="101">
        <v>7</v>
      </c>
      <c r="AJ16" s="363"/>
      <c r="AK16" s="363"/>
      <c r="AL16" s="101">
        <v>1</v>
      </c>
      <c r="AM16" s="101">
        <v>1</v>
      </c>
      <c r="AN16" s="101"/>
      <c r="AO16" s="101"/>
      <c r="AP16" s="125" t="str">
        <f>+IF(AND(T3=2,S3=0),"","Plan de Voz")</f>
        <v>Plan de Voz</v>
      </c>
      <c r="AQ16" s="101"/>
      <c r="AR16" s="101"/>
      <c r="AS16" s="101"/>
      <c r="AT16" s="101"/>
      <c r="AU16" s="101"/>
      <c r="AV16" s="103">
        <f>+IF(OR(AV15="",M6=4,AND(M6="",Z6=1)),"","Tipo 7")</f>
      </c>
      <c r="AW16" s="101"/>
      <c r="AX16" s="103">
        <v>6</v>
      </c>
      <c r="AY16" s="103"/>
      <c r="AZ16" s="101"/>
      <c r="BA16" s="101"/>
      <c r="BB16" s="119">
        <v>5</v>
      </c>
      <c r="BC16" s="106">
        <v>6</v>
      </c>
      <c r="BD16" s="120">
        <v>0</v>
      </c>
      <c r="BE16" s="121">
        <v>0</v>
      </c>
      <c r="BF16" s="109">
        <v>6</v>
      </c>
      <c r="BG16" s="122">
        <v>0</v>
      </c>
      <c r="BH16" s="123">
        <v>0</v>
      </c>
      <c r="BI16" s="109">
        <v>6</v>
      </c>
      <c r="BJ16" s="122">
        <v>1</v>
      </c>
      <c r="BK16" s="123">
        <f>+IF(N1=2,0,1)</f>
        <v>1</v>
      </c>
      <c r="BL16" s="96">
        <f t="shared" si="0"/>
        <v>1</v>
      </c>
      <c r="BX16" s="98">
        <v>41426</v>
      </c>
      <c r="BY16" s="98">
        <v>41455</v>
      </c>
      <c r="BZ16" s="96" t="s">
        <v>172</v>
      </c>
      <c r="CC16" s="96" t="s">
        <v>173</v>
      </c>
      <c r="CD16" s="98">
        <v>41486</v>
      </c>
    </row>
    <row r="17" spans="1:82" ht="15.75" customHeight="1">
      <c r="A17" s="5"/>
      <c r="D17" s="339">
        <f>+IF(AV48&gt;=1,AV49,"")</f>
      </c>
      <c r="E17" s="339"/>
      <c r="F17" s="339"/>
      <c r="G17" s="339"/>
      <c r="H17" s="208">
        <f>+IF(OR(D17="ERROR, iPhone N/A",D17="ERROR, Tipo de plan"),6,0)</f>
        <v>0</v>
      </c>
      <c r="I17" s="31"/>
      <c r="J17" s="25"/>
      <c r="K17" s="25"/>
      <c r="L17" s="283">
        <f>+M8+M10+M13+L16+H17+U10+Q9</f>
        <v>0</v>
      </c>
      <c r="P17" s="4"/>
      <c r="Q17" s="340" t="str">
        <f>+IF(I16=T15,"Baja","Baja ---&gt;")</f>
        <v>Baja</v>
      </c>
      <c r="R17" s="341"/>
      <c r="S17" s="175"/>
      <c r="T17" s="337"/>
      <c r="U17" s="338"/>
      <c r="V17" s="338"/>
      <c r="W17" s="283">
        <f>+IF(V13=1,S17+1,S17)</f>
        <v>0</v>
      </c>
      <c r="X17" s="39">
        <f>+W17-S17</f>
        <v>0</v>
      </c>
      <c r="Y17" s="43">
        <f>+IF(I8="","",LOOKUP(N8,BI10:BJ17))</f>
      </c>
      <c r="Z17" s="46">
        <f>+IF(I8="","",LOOKUP(N8,BI10:BK17))</f>
      </c>
      <c r="AA17" s="73" t="e">
        <f>+Y17+Z17</f>
        <v>#VALUE!</v>
      </c>
      <c r="AB17" s="80" t="e">
        <f>+IF(OR($X$17&gt;$Y$17,X17&gt;Y17,W20&gt;AL20,W17&gt;Y17,(AND(S13=1,W17&gt;Y17))),0,W17)</f>
        <v>#N/A</v>
      </c>
      <c r="AC17" s="96" t="e">
        <f>+IF(W17&gt;AB17,W17-AB17,0)</f>
        <v>#N/A</v>
      </c>
      <c r="AD17" s="117" t="e">
        <f>+IF(OR($X$17&gt;($Z$17+Y17),I10="Regular",I10="Alto riesgo",W20&gt;AN20,I10="Sin habito de pago",(AND(S13=1,W17&gt;AA17))),0,W17)</f>
        <v>#VALUE!</v>
      </c>
      <c r="AE17" s="96" t="e">
        <f>+IF(W17&gt;AD17,W17-AD17,0)</f>
        <v>#VALUE!</v>
      </c>
      <c r="AG17" s="101"/>
      <c r="AH17" s="101"/>
      <c r="AI17" s="101"/>
      <c r="AJ17" s="101"/>
      <c r="AK17" s="101"/>
      <c r="AL17" s="101"/>
      <c r="AM17" s="101"/>
      <c r="AN17" s="101"/>
      <c r="AO17" s="101"/>
      <c r="AP17" s="125" t="str">
        <f>+IF(AND(T3=2,S3=0),"","Plan Internet Movil")</f>
        <v>Plan Internet Movil</v>
      </c>
      <c r="AQ17" s="101"/>
      <c r="AR17" s="101"/>
      <c r="AS17" s="101"/>
      <c r="AT17" s="101"/>
      <c r="AU17" s="101"/>
      <c r="AV17" s="101"/>
      <c r="AW17" s="101"/>
      <c r="AX17" s="103">
        <v>7</v>
      </c>
      <c r="AY17" s="103"/>
      <c r="AZ17" s="101"/>
      <c r="BA17" s="101"/>
      <c r="BB17" s="119">
        <v>7</v>
      </c>
      <c r="BC17" s="126">
        <v>7</v>
      </c>
      <c r="BD17" s="127">
        <v>0</v>
      </c>
      <c r="BE17" s="128">
        <v>0</v>
      </c>
      <c r="BF17" s="129">
        <v>7</v>
      </c>
      <c r="BG17" s="130">
        <v>0</v>
      </c>
      <c r="BH17" s="131">
        <v>0</v>
      </c>
      <c r="BI17" s="129">
        <v>7</v>
      </c>
      <c r="BJ17" s="130">
        <v>0</v>
      </c>
      <c r="BK17" s="131">
        <v>0</v>
      </c>
      <c r="BL17" s="96">
        <f t="shared" si="0"/>
        <v>0</v>
      </c>
      <c r="BO17" s="96">
        <f>+N10</f>
      </c>
      <c r="BP17" s="96">
        <f>+IF(BO17="","",LOOKUP(BO17,BO10:BP16))</f>
      </c>
      <c r="BX17" s="98">
        <v>41456</v>
      </c>
      <c r="BY17" s="98">
        <v>41486</v>
      </c>
      <c r="BZ17" s="96" t="s">
        <v>173</v>
      </c>
      <c r="CC17" s="96" t="s">
        <v>172</v>
      </c>
      <c r="CD17" s="98">
        <v>41455</v>
      </c>
    </row>
    <row r="18" spans="1:82" ht="2.25" customHeight="1">
      <c r="A18" s="5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26"/>
      <c r="T18" s="342"/>
      <c r="U18" s="342"/>
      <c r="V18" s="342"/>
      <c r="W18" s="342"/>
      <c r="X18" s="342"/>
      <c r="Y18" s="342"/>
      <c r="Z18" s="342"/>
      <c r="AA18" s="49"/>
      <c r="AB18" s="81"/>
      <c r="AC18" s="96"/>
      <c r="AK18" s="101"/>
      <c r="AL18" s="101"/>
      <c r="AM18" s="101"/>
      <c r="AN18" s="101"/>
      <c r="AO18" s="101"/>
      <c r="AP18" s="125" t="str">
        <f>+IF(AND(T6=2,S6=0),"","Blackberry-Smartphone")</f>
        <v>Blackberry-Smartphone</v>
      </c>
      <c r="AQ18" s="101"/>
      <c r="AR18" s="101"/>
      <c r="AS18" s="101"/>
      <c r="AT18" s="101"/>
      <c r="AU18" s="101"/>
      <c r="AV18" s="103"/>
      <c r="AW18" s="103"/>
      <c r="AX18" s="103">
        <v>8</v>
      </c>
      <c r="AY18" s="103"/>
      <c r="AZ18" s="101"/>
      <c r="BA18" s="101"/>
      <c r="BB18" s="101"/>
      <c r="BC18" s="101"/>
      <c r="BD18" s="101"/>
      <c r="BE18" s="101"/>
      <c r="BX18" s="98">
        <v>41487</v>
      </c>
      <c r="BY18" s="98">
        <v>41517</v>
      </c>
      <c r="BZ18" s="96" t="s">
        <v>174</v>
      </c>
      <c r="CC18" s="96" t="s">
        <v>169</v>
      </c>
      <c r="CD18" s="98">
        <v>41364</v>
      </c>
    </row>
    <row r="19" spans="1:82" ht="12.75" customHeight="1" thickBot="1">
      <c r="A19" s="5"/>
      <c r="D19" s="357">
        <f>+IF(AX67&gt;=1,AX68,"")</f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9"/>
      <c r="W19" s="210"/>
      <c r="X19" s="210"/>
      <c r="Y19" s="210"/>
      <c r="Z19" s="208" t="e">
        <f>+IF(W20&gt;=AA16,0,1)</f>
        <v>#VALUE!</v>
      </c>
      <c r="AA19" s="36"/>
      <c r="AB19" s="82"/>
      <c r="AC19" s="96"/>
      <c r="AD19" s="96"/>
      <c r="AE19" s="96"/>
      <c r="AG19" s="101"/>
      <c r="AJ19" s="101"/>
      <c r="AK19" s="101"/>
      <c r="AL19" s="101"/>
      <c r="AM19" s="101"/>
      <c r="AN19" s="101"/>
      <c r="AO19" s="101"/>
      <c r="AP19" s="125">
        <f>+IF(AND(T4=2,S4=0),"","iPhone (plan o pqte)")</f>
      </c>
      <c r="AQ19" s="101"/>
      <c r="AR19" s="101"/>
      <c r="AS19" s="101"/>
      <c r="AT19" s="101"/>
      <c r="AU19" s="101"/>
      <c r="AV19" s="103"/>
      <c r="AW19" s="103"/>
      <c r="AX19" s="103">
        <v>9</v>
      </c>
      <c r="AY19" s="103"/>
      <c r="AZ19" s="442" t="s">
        <v>15</v>
      </c>
      <c r="BA19" s="186">
        <v>1.16</v>
      </c>
      <c r="BB19" s="187" t="s">
        <v>184</v>
      </c>
      <c r="BC19" s="101"/>
      <c r="BD19" s="101"/>
      <c r="BE19" s="101"/>
      <c r="BX19" s="98">
        <v>41518</v>
      </c>
      <c r="BY19" s="98">
        <v>41547</v>
      </c>
      <c r="BZ19" s="96" t="s">
        <v>175</v>
      </c>
      <c r="CC19" s="96" t="s">
        <v>171</v>
      </c>
      <c r="CD19" s="98">
        <v>41425</v>
      </c>
    </row>
    <row r="20" spans="1:82" ht="12.75" customHeight="1">
      <c r="A20" s="5"/>
      <c r="B20" s="450">
        <f>+BP17</f>
      </c>
      <c r="C20" s="450"/>
      <c r="D20" s="451">
        <f>+IF(AX74&gt;=1,AX75,"")</f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3"/>
      <c r="W20" s="283">
        <f>SUM(W15:W18)</f>
        <v>0</v>
      </c>
      <c r="X20" s="269"/>
      <c r="Y20" s="269">
        <f>+IF((OR(M6="",I8="Tipo I",M6=4,(AND((OR(M6=1,M6=2)),P13=2)),(AND(Z6=1,Y21=1)))),1,2)</f>
        <v>1</v>
      </c>
      <c r="Z20" s="269">
        <f>+IF(T16&lt;&gt;"",1,2)</f>
        <v>2</v>
      </c>
      <c r="AA20" s="36"/>
      <c r="AB20" s="82"/>
      <c r="AC20" s="96" t="e">
        <f>SUM(AC15:AC17)</f>
        <v>#N/A</v>
      </c>
      <c r="AD20" s="96"/>
      <c r="AE20" s="96" t="e">
        <f>SUM(AE15:AE17)</f>
        <v>#VALUE!</v>
      </c>
      <c r="AG20" s="101"/>
      <c r="AH20" s="101"/>
      <c r="AI20" s="101"/>
      <c r="AJ20" s="101"/>
      <c r="AK20" s="101"/>
      <c r="AL20" s="132" t="e">
        <f>+LOOKUP(N8,AI10:AL18)</f>
        <v>#N/A</v>
      </c>
      <c r="AM20" s="132" t="e">
        <f>+LOOKUP(N8,AI10:AM18)</f>
        <v>#N/A</v>
      </c>
      <c r="AN20" s="101" t="e">
        <f>+AM20+AL20</f>
        <v>#N/A</v>
      </c>
      <c r="AO20" s="101"/>
      <c r="AP20" s="133">
        <f>+IF(I8="","",LOOKUP(N8,AI10:AN18))</f>
      </c>
      <c r="AQ20" s="101"/>
      <c r="AR20" s="101"/>
      <c r="AS20" s="101"/>
      <c r="AT20" s="101"/>
      <c r="AU20" s="101"/>
      <c r="AV20" s="103"/>
      <c r="AW20" s="103"/>
      <c r="AX20" s="103">
        <v>10</v>
      </c>
      <c r="AY20" s="103"/>
      <c r="AZ20" s="442"/>
      <c r="BA20" s="188">
        <v>1.2</v>
      </c>
      <c r="BB20" s="187" t="s">
        <v>185</v>
      </c>
      <c r="BC20" s="101"/>
      <c r="BD20" s="101"/>
      <c r="BE20" s="101"/>
      <c r="BX20" s="98">
        <v>41548</v>
      </c>
      <c r="BY20" s="98">
        <v>41578</v>
      </c>
      <c r="BZ20" s="96" t="s">
        <v>176</v>
      </c>
      <c r="CC20" s="96" t="s">
        <v>177</v>
      </c>
      <c r="CD20" s="98">
        <v>41608</v>
      </c>
    </row>
    <row r="21" spans="1:82" ht="21" customHeight="1">
      <c r="A21" s="5"/>
      <c r="B21" s="4"/>
      <c r="D21" s="465">
        <f>+IF(AG48&gt;=1,AG49,"")</f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7"/>
      <c r="W21" s="263"/>
      <c r="X21" s="262"/>
      <c r="Y21" s="269">
        <f>+IF((OR(I8="Tipo I",I10="Alto riesgo",R13="",R13="Media",R13="Alta",B20&lt;W20,(AND((OR(M6=1,M6=2)),P13=2)))),1,2)</f>
        <v>1</v>
      </c>
      <c r="Z21" s="269">
        <f>+IF(AND(M6=1,L17=4,Y20=2,Z20=2),1,2)</f>
        <v>2</v>
      </c>
      <c r="AA21" s="37"/>
      <c r="AB21" s="76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3"/>
      <c r="AW21" s="103"/>
      <c r="AX21" s="103">
        <v>11</v>
      </c>
      <c r="AY21" s="103"/>
      <c r="AZ21" s="442" t="s">
        <v>16</v>
      </c>
      <c r="BA21" s="186">
        <v>1.16</v>
      </c>
      <c r="BB21" s="187" t="s">
        <v>186</v>
      </c>
      <c r="BC21" s="101"/>
      <c r="BD21" s="101"/>
      <c r="BE21" s="101"/>
      <c r="BX21" s="98">
        <v>41579</v>
      </c>
      <c r="BY21" s="98">
        <v>41608</v>
      </c>
      <c r="BZ21" s="96" t="s">
        <v>177</v>
      </c>
      <c r="CC21" s="96" t="s">
        <v>176</v>
      </c>
      <c r="CD21" s="98">
        <v>41578</v>
      </c>
    </row>
    <row r="22" spans="1:82" ht="15" customHeight="1" thickBot="1">
      <c r="A22" s="5"/>
      <c r="D22" s="354">
        <f>+IF(AND(L17=4,Y20=2,Z20=2,Z6=2,M6&lt;&gt;4),"Puede ofrecer: Estrategia Prepago (Con cambio de equipo y sim) - Solo aplica para una linea","")</f>
      </c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6"/>
      <c r="W22" s="1"/>
      <c r="X22" s="19"/>
      <c r="Y22" s="7"/>
      <c r="Z22" s="20"/>
      <c r="AA22" s="38"/>
      <c r="AB22" s="76"/>
      <c r="AC22" s="96"/>
      <c r="AD22" s="96"/>
      <c r="AE22" s="96"/>
      <c r="AG22" s="101">
        <f>+AH22+AI22+AJ22</f>
        <v>0</v>
      </c>
      <c r="AH22" s="101">
        <f>+IF(AND(S24=3,W20=3,N8&lt;&gt;8),1,0)</f>
        <v>0</v>
      </c>
      <c r="AI22" s="101">
        <f>+IF(AND(S24=3,N8=8),2,0)</f>
        <v>0</v>
      </c>
      <c r="AJ22" s="101">
        <f>+IF(AND(S24=3,W20&gt;3,N8&lt;&gt;8),3,0)</f>
        <v>0</v>
      </c>
      <c r="AK22" s="101"/>
      <c r="AL22" s="101">
        <f>+IF(AND(P13=2,I16=1),0,2)</f>
        <v>2</v>
      </c>
      <c r="AM22" s="101">
        <f>+IF(N1=1,AL22,0)</f>
        <v>0</v>
      </c>
      <c r="AN22" s="101">
        <f>+IF(N1=2,1,0)</f>
        <v>0</v>
      </c>
      <c r="AO22" s="101"/>
      <c r="AP22" s="101"/>
      <c r="AQ22" s="101"/>
      <c r="AR22" s="101" t="e">
        <f>+AS22+AT22</f>
        <v>#VALUE!</v>
      </c>
      <c r="AS22" s="101" t="str">
        <f>+IF(N8=8,"","Abierto")</f>
        <v>Abierto</v>
      </c>
      <c r="AT22" s="101"/>
      <c r="AU22" s="101"/>
      <c r="AV22" s="103"/>
      <c r="AW22" s="103"/>
      <c r="AX22" s="103">
        <v>12</v>
      </c>
      <c r="AY22" s="103"/>
      <c r="AZ22" s="442"/>
      <c r="BA22" s="188">
        <v>1.2</v>
      </c>
      <c r="BB22" s="187" t="s">
        <v>187</v>
      </c>
      <c r="BC22" s="101"/>
      <c r="BD22" s="101"/>
      <c r="BE22" s="101"/>
      <c r="BX22" s="98">
        <v>41609</v>
      </c>
      <c r="BY22" s="98">
        <v>41639</v>
      </c>
      <c r="BZ22" s="96" t="s">
        <v>178</v>
      </c>
      <c r="CC22" s="96" t="s">
        <v>175</v>
      </c>
      <c r="CD22" s="98">
        <v>41547</v>
      </c>
    </row>
    <row r="23" spans="1:78" ht="13.5" customHeight="1">
      <c r="A23" s="5"/>
      <c r="D23" s="28"/>
      <c r="E23" s="219"/>
      <c r="F23" s="219"/>
      <c r="G23" s="219"/>
      <c r="H23" s="219"/>
      <c r="I23" s="219"/>
      <c r="J23" s="219"/>
      <c r="K23" s="219"/>
      <c r="L23" s="219"/>
      <c r="M23" s="219"/>
      <c r="N23" s="21"/>
      <c r="O23" s="21"/>
      <c r="P23" s="21"/>
      <c r="Q23" s="6"/>
      <c r="R23" s="6"/>
      <c r="T23" s="282"/>
      <c r="U23" s="282" t="e">
        <f>+IF(AC20=0,"si","no")</f>
        <v>#N/A</v>
      </c>
      <c r="V23" s="282" t="e">
        <f>+IF(U23="si",1,0)</f>
        <v>#N/A</v>
      </c>
      <c r="W23" s="48"/>
      <c r="X23" s="19"/>
      <c r="Y23" s="7"/>
      <c r="Z23" s="7"/>
      <c r="AA23" s="38"/>
      <c r="AB23" s="76"/>
      <c r="AC23" s="96"/>
      <c r="AD23" s="189" t="s">
        <v>220</v>
      </c>
      <c r="AE23" s="96"/>
      <c r="AG23" s="101" t="e">
        <f>LOOKUP(AG22,AH24:AI27)</f>
        <v>#N/A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 t="e">
        <f>LOOKUP(AR22,AS24:AT27)</f>
        <v>#VALUE!</v>
      </c>
      <c r="AS23" s="101"/>
      <c r="AT23" s="101"/>
      <c r="AU23" s="101"/>
      <c r="AV23" s="103"/>
      <c r="AW23" s="103"/>
      <c r="AX23" s="103">
        <v>13</v>
      </c>
      <c r="AY23" s="101"/>
      <c r="AZ23" s="442" t="s">
        <v>17</v>
      </c>
      <c r="BA23" s="186">
        <v>1.16</v>
      </c>
      <c r="BB23" s="187" t="s">
        <v>188</v>
      </c>
      <c r="BC23" s="101"/>
      <c r="BD23" s="101"/>
      <c r="BE23" s="101"/>
      <c r="BJ23" s="96">
        <v>1</v>
      </c>
      <c r="BK23" s="96">
        <v>1</v>
      </c>
      <c r="BX23" s="101"/>
      <c r="BY23" s="101"/>
      <c r="BZ23" s="101"/>
    </row>
    <row r="24" spans="1:77" ht="15.75" customHeight="1">
      <c r="A24" s="5"/>
      <c r="D24" s="360">
        <f>+IF(AG42&gt;=1,AG43,"")</f>
      </c>
      <c r="E24" s="361"/>
      <c r="F24" s="361"/>
      <c r="G24" s="361"/>
      <c r="H24" s="361"/>
      <c r="I24" s="361"/>
      <c r="J24" s="361"/>
      <c r="K24" s="361"/>
      <c r="L24" s="361"/>
      <c r="M24" s="362"/>
      <c r="N24" s="335"/>
      <c r="O24" s="336"/>
      <c r="P24" s="172"/>
      <c r="Q24" s="280">
        <f>+IF(AND(L17=4,Y20=1,Z20=2,D24=""),1,2)</f>
        <v>2</v>
      </c>
      <c r="R24" s="280">
        <f>+IF(AND(L17=4,Q24=2,N24&lt;&gt;"",Z20=2),1,2)</f>
        <v>2</v>
      </c>
      <c r="S24" s="281">
        <f>+Q24+R24</f>
        <v>4</v>
      </c>
      <c r="T24" s="283" t="s">
        <v>30</v>
      </c>
      <c r="U24" s="283" t="e">
        <f>+IF(AND(AC20&gt;=1,AE20=0),"si","no")</f>
        <v>#N/A</v>
      </c>
      <c r="V24" s="283" t="e">
        <f>+IF(U24="si",2,0)</f>
        <v>#N/A</v>
      </c>
      <c r="W24" s="48"/>
      <c r="X24" s="19"/>
      <c r="Y24" s="352"/>
      <c r="Z24" s="352"/>
      <c r="AA24" s="353"/>
      <c r="AB24" s="76"/>
      <c r="AC24" s="96"/>
      <c r="AD24" s="189" t="s">
        <v>221</v>
      </c>
      <c r="AE24" s="96"/>
      <c r="AG24" s="101"/>
      <c r="AH24" s="101">
        <v>1</v>
      </c>
      <c r="AI24" s="101" t="s">
        <v>134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>
        <v>1</v>
      </c>
      <c r="AT24" s="101" t="s">
        <v>63</v>
      </c>
      <c r="AU24" s="101"/>
      <c r="AV24" s="103"/>
      <c r="AW24" s="103"/>
      <c r="AX24" s="103">
        <v>14</v>
      </c>
      <c r="AY24" s="101"/>
      <c r="AZ24" s="442"/>
      <c r="BA24" s="188">
        <v>1.2</v>
      </c>
      <c r="BB24" s="187" t="s">
        <v>189</v>
      </c>
      <c r="BC24" s="101"/>
      <c r="BD24" s="101"/>
      <c r="BE24" s="101"/>
      <c r="BJ24" s="96">
        <v>1000000</v>
      </c>
      <c r="BK24" s="96">
        <v>10</v>
      </c>
      <c r="BX24" s="96"/>
      <c r="BY24" s="96"/>
    </row>
    <row r="25" spans="1:77" ht="6" customHeight="1">
      <c r="A25" s="5"/>
      <c r="D25" s="169"/>
      <c r="E25" s="169"/>
      <c r="F25" s="169"/>
      <c r="G25" s="169"/>
      <c r="H25" s="169"/>
      <c r="I25" s="169"/>
      <c r="J25" s="169"/>
      <c r="K25" s="170"/>
      <c r="L25" s="171"/>
      <c r="M25" s="169"/>
      <c r="O25" s="270">
        <f>IF(AND(M6=2,L17=4,S24=3),AQ128,0)</f>
        <v>0</v>
      </c>
      <c r="P25" s="1"/>
      <c r="T25" s="283" t="s">
        <v>31</v>
      </c>
      <c r="U25" s="283" t="e">
        <f>+IF(AND(AC20&gt;=1,AE20&gt;=1),"si","no")</f>
        <v>#N/A</v>
      </c>
      <c r="V25" s="283" t="e">
        <f>+IF(U25="si",3,0)</f>
        <v>#N/A</v>
      </c>
      <c r="W25" s="283" t="e">
        <f>SUM(V23:V25)</f>
        <v>#N/A</v>
      </c>
      <c r="X25" s="19"/>
      <c r="AA25" s="33"/>
      <c r="AB25" s="76"/>
      <c r="AD25" s="189" t="s">
        <v>222</v>
      </c>
      <c r="AG25" s="101"/>
      <c r="AH25" s="101">
        <v>2</v>
      </c>
      <c r="AI25" s="103" t="s">
        <v>84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>
        <v>2</v>
      </c>
      <c r="AT25" s="101" t="s">
        <v>97</v>
      </c>
      <c r="AU25" s="101"/>
      <c r="AV25" s="103"/>
      <c r="AW25" s="103"/>
      <c r="AX25" s="103">
        <v>15</v>
      </c>
      <c r="AY25" s="103"/>
      <c r="AZ25" s="101"/>
      <c r="BA25" s="101"/>
      <c r="BB25" s="101"/>
      <c r="BC25" s="101"/>
      <c r="BD25" s="101"/>
      <c r="BE25" s="101"/>
      <c r="BX25" s="96"/>
      <c r="BY25" s="96"/>
    </row>
    <row r="26" spans="1:77" ht="9" customHeight="1" thickBot="1">
      <c r="A26" s="5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83"/>
      <c r="AG26" s="101"/>
      <c r="AH26" s="101">
        <v>3</v>
      </c>
      <c r="AI26" s="101" t="s">
        <v>133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3"/>
      <c r="AW26" s="103"/>
      <c r="AX26" s="103">
        <v>16</v>
      </c>
      <c r="AY26" s="103"/>
      <c r="AZ26" s="101"/>
      <c r="BA26" s="101"/>
      <c r="BB26" s="101"/>
      <c r="BC26" s="101"/>
      <c r="BD26" s="101"/>
      <c r="BE26" s="101"/>
      <c r="BX26" s="96"/>
      <c r="BY26" s="96"/>
    </row>
    <row r="27" spans="1:82" ht="12.75">
      <c r="A27" s="5"/>
      <c r="B27" s="334">
        <f>+IF(AG22&gt;=1,AG23,"")</f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84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3"/>
      <c r="AW27" s="103"/>
      <c r="AX27" s="103">
        <v>17</v>
      </c>
      <c r="AY27" s="103"/>
      <c r="AZ27" s="101"/>
      <c r="BA27" s="101"/>
      <c r="BB27" s="101"/>
      <c r="BC27" s="101"/>
      <c r="BD27" s="101"/>
      <c r="BE27" s="101"/>
      <c r="BI27" s="96">
        <f>+IF(AND(M6=3,N8=5),2,0)</f>
        <v>0</v>
      </c>
      <c r="BK27" s="96">
        <f>+IF(AND(M6=3,N8=4),2,0)</f>
        <v>0</v>
      </c>
      <c r="BL27" s="96">
        <f>+IF(AND(M6=4,H28="no",N8=2,I16=0),2,0)</f>
        <v>0</v>
      </c>
      <c r="BM27" s="96">
        <f>+IF(AND(M6=3,N8=6),2,0)</f>
        <v>0</v>
      </c>
      <c r="BS27" s="134" t="s">
        <v>164</v>
      </c>
      <c r="BU27" s="135" t="s">
        <v>67</v>
      </c>
      <c r="BV27" s="96">
        <v>1</v>
      </c>
      <c r="BX27" s="136">
        <f>IF(OR(P6="",N1=2),0,LOOKUP(P6,BU26:BV35))</f>
        <v>0</v>
      </c>
      <c r="BY27" s="136">
        <f>+IF(N1=2,1,0)</f>
        <v>0</v>
      </c>
      <c r="BZ27" s="136">
        <f>+BX27+BY27</f>
        <v>0</v>
      </c>
      <c r="CA27" s="105"/>
      <c r="CB27" s="105"/>
      <c r="CC27" s="105"/>
      <c r="CD27" s="105"/>
    </row>
    <row r="28" spans="1:82" ht="17.25" customHeight="1">
      <c r="A28" s="5"/>
      <c r="B28" s="324"/>
      <c r="C28" s="5"/>
      <c r="D28" s="309">
        <f>+IF(S24=3,"Soportes:","")</f>
      </c>
      <c r="E28" s="310"/>
      <c r="F28" s="310"/>
      <c r="G28" s="311"/>
      <c r="H28" s="370">
        <f>+IF(S24=3,I29,"")</f>
      </c>
      <c r="I28" s="371"/>
      <c r="J28" s="457" t="e">
        <f>+IF(AO130=1,AP130,"")</f>
        <v>#N/A</v>
      </c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10"/>
      <c r="AA28" s="12"/>
      <c r="AB28" s="85"/>
      <c r="AD28" s="205">
        <v>1</v>
      </c>
      <c r="AE28" s="206">
        <v>1.2</v>
      </c>
      <c r="AG28" s="328" t="str">
        <f>+IF(Y52&gt;1,"Error Observaciones","Ok.")</f>
        <v>Ok.</v>
      </c>
      <c r="AH28" s="328"/>
      <c r="AI28" s="328"/>
      <c r="AJ28" s="328"/>
      <c r="AK28" s="101"/>
      <c r="AL28" s="101"/>
      <c r="AM28" s="101"/>
      <c r="AN28" s="101"/>
      <c r="AO28" s="101"/>
      <c r="AP28" s="101"/>
      <c r="AQ28" s="101"/>
      <c r="AR28" s="103" t="s">
        <v>11</v>
      </c>
      <c r="AS28" s="103">
        <v>6</v>
      </c>
      <c r="AT28" s="101"/>
      <c r="AU28" s="101"/>
      <c r="AV28" s="103"/>
      <c r="AW28" s="103"/>
      <c r="AX28" s="103">
        <v>18</v>
      </c>
      <c r="AY28" s="103"/>
      <c r="AZ28" s="101"/>
      <c r="BA28" s="101"/>
      <c r="BB28" s="101"/>
      <c r="BC28" s="101"/>
      <c r="BD28" s="101"/>
      <c r="BE28" s="101"/>
      <c r="BF28" s="137">
        <f>+BG28+BH28+BI28+BJ28+BK28+BL28+BM28+BN28+BO28+BP28+BQ28+BI29+BJ29+BK29+BL29+BM29</f>
        <v>1</v>
      </c>
      <c r="BG28" s="96">
        <f>+IF(SUM(BH28:BQ28)+BI29+BJ29+BK29+BL29+BM29=0,1,0)</f>
        <v>1</v>
      </c>
      <c r="BH28" s="265">
        <f>+IF(AND(M6=4,H28="si",N1=1,N8&lt;&gt;1,N8&lt;&gt;2),2,0)</f>
        <v>0</v>
      </c>
      <c r="BI28" s="96">
        <f>+IF(AND(M6=3,N8=5,N10=1,V13=1,I16=0,N13="Mixto"),3,0)</f>
        <v>0</v>
      </c>
      <c r="BJ28" s="96">
        <f>+IF(AND(M6=3,N8=3,I16&gt;=1),2,0)</f>
        <v>0</v>
      </c>
      <c r="BL28" s="266">
        <f>+IF(AND(M6=4,H28="si",N1=2,N8&lt;&gt;1),2,0)</f>
        <v>0</v>
      </c>
      <c r="BN28" s="96">
        <f>+IF(AND(SUM(BH28:BM28)=0,M6=4,N8=1,I10="Muy bueno",V10=2,V7=2),2,0)</f>
        <v>0</v>
      </c>
      <c r="BO28" s="265">
        <f>+IF(AND(SUM(BH28:BM28)=0,M6=4,N8=1,I10="bueno",V10=2,V7=2),2,0)</f>
        <v>0</v>
      </c>
      <c r="BP28" s="96">
        <f>+IF(AND(SUM(BH28:BM28)=0,OR(M6=1,M6=2),N8=5,N10=1,V13=1,I16=0,N13="Mixto"),3,0)</f>
        <v>0</v>
      </c>
      <c r="BQ28" s="96">
        <f>+IF(AND(SUM(BH28:BM28)=0,OR(M6=1,M6=2),N8=6,N1=2,N10=1,V13=1,I16=0,N13="Mixto"),3,0)</f>
        <v>0</v>
      </c>
      <c r="BS28" s="134" t="s">
        <v>65</v>
      </c>
      <c r="BU28" s="134" t="s">
        <v>164</v>
      </c>
      <c r="BV28" s="96">
        <v>2</v>
      </c>
      <c r="BX28" s="105"/>
      <c r="BY28" s="105"/>
      <c r="BZ28" s="105"/>
      <c r="CA28" s="105"/>
      <c r="CB28" s="105"/>
      <c r="CC28" s="105"/>
      <c r="CD28" s="105"/>
    </row>
    <row r="29" spans="1:82" ht="8.25" customHeight="1">
      <c r="A29" s="5"/>
      <c r="B29" s="324"/>
      <c r="C29" s="5"/>
      <c r="D29" s="323"/>
      <c r="E29" s="323"/>
      <c r="F29" s="323"/>
      <c r="G29" s="323"/>
      <c r="H29" s="72">
        <f>+IF(AND(S24=3,F50=1),1,0)</f>
        <v>0</v>
      </c>
      <c r="I29" s="72" t="str">
        <f>+IF(H29=1,"No","Si")</f>
        <v>Si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2"/>
      <c r="AB29" s="85"/>
      <c r="AD29" s="204">
        <v>2</v>
      </c>
      <c r="AE29" s="178">
        <v>1.16</v>
      </c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3" t="s">
        <v>20</v>
      </c>
      <c r="AS29" s="103">
        <v>8</v>
      </c>
      <c r="AT29" s="101"/>
      <c r="AU29" s="101"/>
      <c r="AV29" s="103">
        <v>0</v>
      </c>
      <c r="AW29" s="103"/>
      <c r="AX29" s="103">
        <v>19</v>
      </c>
      <c r="AY29" s="103"/>
      <c r="AZ29" s="101"/>
      <c r="BA29" s="101">
        <v>0</v>
      </c>
      <c r="BB29" s="101"/>
      <c r="BC29" s="101"/>
      <c r="BD29" s="101"/>
      <c r="BE29" s="101"/>
      <c r="BI29" s="265">
        <f>+IF(AND(SUM(BH28:BQ28)=0,M6=4,N8=2,I10="Muy bueno",V10=2,V7=2),2,0)</f>
        <v>0</v>
      </c>
      <c r="BJ29" s="265">
        <f>+IF(AND(SUM(BH28:BQ28)=0,M6=4,N8=2,I10="bueno",V10=2,V7=2),2,0)</f>
        <v>0</v>
      </c>
      <c r="BK29" s="265">
        <f>+IF(AND(SUM(BH28:BQ28)=0,M6=4,OR(N8=1,N8=2),I10="Regular"),2,0)</f>
        <v>0</v>
      </c>
      <c r="BL29" s="265">
        <f>+IF(AND(SUM(BH28:BQ28)=0,M6=4,OR(N8=1,N8=2),I10="Alto riesgo"),2,0)</f>
        <v>0</v>
      </c>
      <c r="BM29" s="265">
        <f>+IF(AND(SUM(BH28:BQ28)=0,M6=4,OR(N8=1,N8=2),I10="Sin habito de pago",I16&gt;=1,V7=2),2,0)</f>
        <v>0</v>
      </c>
      <c r="BS29" s="134" t="s">
        <v>165</v>
      </c>
      <c r="BU29" s="134" t="s">
        <v>65</v>
      </c>
      <c r="BV29" s="96">
        <v>2</v>
      </c>
      <c r="BX29" s="105"/>
      <c r="BY29" s="105"/>
      <c r="BZ29" s="105"/>
      <c r="CA29" s="105"/>
      <c r="CB29" s="105"/>
      <c r="CC29" s="105"/>
      <c r="CD29" s="105"/>
    </row>
    <row r="30" spans="1:82" ht="17.25" customHeight="1">
      <c r="A30" s="5"/>
      <c r="B30" s="324"/>
      <c r="C30" s="5"/>
      <c r="D30" s="309">
        <f>+IF(S24=3,"Visita Domiciliaria:","")</f>
      </c>
      <c r="E30" s="310"/>
      <c r="F30" s="310"/>
      <c r="G30" s="311"/>
      <c r="H30" s="370">
        <f>+IF(S24=3,I31,"")</f>
      </c>
      <c r="I30" s="371"/>
      <c r="J30" s="346">
        <f>+IF(AG30&gt;=1,AG31,"")</f>
      </c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10"/>
      <c r="AA30" s="12"/>
      <c r="AB30" s="85"/>
      <c r="AD30" s="95">
        <v>3</v>
      </c>
      <c r="AE30" s="178">
        <v>1.16</v>
      </c>
      <c r="AG30" s="138">
        <f>+AH30+AI30+AJ30</f>
        <v>0</v>
      </c>
      <c r="AH30" s="138">
        <f>+IF(AND(H30="Si",N1=2),0,0)</f>
        <v>0</v>
      </c>
      <c r="AI30" s="138">
        <f>+IF(AND(N8=8,H30="No"),2,0)</f>
        <v>0</v>
      </c>
      <c r="AJ30" s="138">
        <f>+IF(AND(H30="Si",N1=1),3,0)</f>
        <v>0</v>
      </c>
      <c r="AK30" s="101"/>
      <c r="AL30" s="101"/>
      <c r="AM30" s="101"/>
      <c r="AN30" s="101"/>
      <c r="AO30" s="101"/>
      <c r="AP30" s="101"/>
      <c r="AQ30" s="101"/>
      <c r="AR30" s="103" t="s">
        <v>6</v>
      </c>
      <c r="AS30" s="103">
        <v>1</v>
      </c>
      <c r="AT30" s="101"/>
      <c r="AU30" s="101"/>
      <c r="AV30" s="103">
        <v>1</v>
      </c>
      <c r="AW30" s="103" t="s">
        <v>15</v>
      </c>
      <c r="AX30" s="103">
        <v>20</v>
      </c>
      <c r="AY30" s="103"/>
      <c r="AZ30" s="101"/>
      <c r="BA30" s="101">
        <v>1</v>
      </c>
      <c r="BB30" s="101" t="str">
        <f>LOOKUP(BF28,BF30:BG32)</f>
        <v>Online</v>
      </c>
      <c r="BC30" s="101"/>
      <c r="BD30" s="101"/>
      <c r="BE30" s="101"/>
      <c r="BF30" s="96">
        <v>1</v>
      </c>
      <c r="BG30" s="96" t="s">
        <v>127</v>
      </c>
      <c r="BQ30" s="134"/>
      <c r="BS30" s="134" t="s">
        <v>71</v>
      </c>
      <c r="BU30" s="139" t="s">
        <v>70</v>
      </c>
      <c r="BV30" s="96">
        <v>1</v>
      </c>
      <c r="BX30" s="105"/>
      <c r="BY30" s="105"/>
      <c r="BZ30" s="105"/>
      <c r="CA30" s="105"/>
      <c r="CB30" s="105"/>
      <c r="CC30" s="105"/>
      <c r="CD30" s="105"/>
    </row>
    <row r="31" spans="1:82" ht="8.25" customHeight="1">
      <c r="A31" s="5"/>
      <c r="B31" s="324"/>
      <c r="C31" s="5"/>
      <c r="D31" s="323"/>
      <c r="E31" s="323"/>
      <c r="F31" s="323"/>
      <c r="G31" s="323"/>
      <c r="H31" s="268">
        <f>+IF(AND(S24=3,J50=1),1,0)</f>
        <v>0</v>
      </c>
      <c r="I31" s="268" t="str">
        <f>+IF(H31=1,"No","Si")</f>
        <v>Si</v>
      </c>
      <c r="J31" s="2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"/>
      <c r="AB31" s="85"/>
      <c r="AD31" s="95">
        <v>4</v>
      </c>
      <c r="AE31" s="207">
        <f>+IF(AND(M6=4,Q7=1),S9,T9)</f>
        <v>1.16</v>
      </c>
      <c r="AG31" s="138" t="e">
        <f>LOOKUP(AG30,AH32:AI34)</f>
        <v>#N/A</v>
      </c>
      <c r="AH31" s="138"/>
      <c r="AI31" s="138"/>
      <c r="AJ31" s="138"/>
      <c r="AK31" s="101"/>
      <c r="AL31" s="101"/>
      <c r="AM31" s="101"/>
      <c r="AN31" s="101"/>
      <c r="AO31" s="101"/>
      <c r="AP31" s="101"/>
      <c r="AQ31" s="101"/>
      <c r="AR31" s="102" t="s">
        <v>7</v>
      </c>
      <c r="AS31" s="102">
        <v>2</v>
      </c>
      <c r="AT31" s="101"/>
      <c r="AU31" s="101"/>
      <c r="AV31" s="103">
        <v>2</v>
      </c>
      <c r="AW31" s="103" t="s">
        <v>16</v>
      </c>
      <c r="AX31" s="103">
        <v>21</v>
      </c>
      <c r="AY31" s="103"/>
      <c r="AZ31" s="101"/>
      <c r="BA31" s="101">
        <v>2</v>
      </c>
      <c r="BB31" s="101" t="str">
        <f>LOOKUP(BF28,BF33:BG34)</f>
        <v>Diferido</v>
      </c>
      <c r="BC31" s="101"/>
      <c r="BD31" s="101"/>
      <c r="BE31" s="101"/>
      <c r="BF31" s="96">
        <v>2</v>
      </c>
      <c r="BG31" s="96" t="s">
        <v>32</v>
      </c>
      <c r="BQ31" s="134"/>
      <c r="BS31" s="134" t="s">
        <v>70</v>
      </c>
      <c r="BU31" s="135" t="s">
        <v>69</v>
      </c>
      <c r="BV31" s="96">
        <v>1</v>
      </c>
      <c r="BX31" s="105"/>
      <c r="BY31" s="105"/>
      <c r="BZ31" s="105"/>
      <c r="CA31" s="105"/>
      <c r="CB31" s="105"/>
      <c r="CC31" s="105"/>
      <c r="CD31" s="105"/>
    </row>
    <row r="32" spans="1:82" ht="17.25" customHeight="1">
      <c r="A32" s="5"/>
      <c r="B32" s="324"/>
      <c r="C32" s="5"/>
      <c r="D32" s="309">
        <f>+IF(S24=3,"Modulo de Activación:","")</f>
      </c>
      <c r="E32" s="310"/>
      <c r="F32" s="310"/>
      <c r="G32" s="311"/>
      <c r="H32" s="348">
        <f>+IF(S24=3,VLOOKUP(AC34,AD36:AE37,2,FALSE),"")</f>
      </c>
      <c r="I32" s="349"/>
      <c r="J32" s="350"/>
      <c r="K32" s="463">
        <f>+IF(AM33&gt;=1,AM34,"")</f>
      </c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76"/>
      <c r="AG32" s="138"/>
      <c r="AH32" s="138">
        <v>1</v>
      </c>
      <c r="AI32" s="138" t="s">
        <v>226</v>
      </c>
      <c r="AJ32" s="138"/>
      <c r="AK32" s="101"/>
      <c r="AL32" s="101"/>
      <c r="AM32" s="101"/>
      <c r="AN32" s="101"/>
      <c r="AO32" s="101"/>
      <c r="AP32" s="101"/>
      <c r="AQ32" s="101"/>
      <c r="AR32" s="102" t="s">
        <v>8</v>
      </c>
      <c r="AS32" s="102">
        <v>3</v>
      </c>
      <c r="AT32" s="101"/>
      <c r="AU32" s="101"/>
      <c r="AV32" s="103">
        <v>3</v>
      </c>
      <c r="AW32" s="103" t="s">
        <v>17</v>
      </c>
      <c r="AX32" s="103">
        <v>22</v>
      </c>
      <c r="AY32" s="103"/>
      <c r="AZ32" s="101"/>
      <c r="BA32" s="101">
        <v>3</v>
      </c>
      <c r="BB32" s="101" t="str">
        <f>+IF(AND(N8=8,L17=4,S24=3),"Estrategia prepago","Tradicional")</f>
        <v>Tradicional</v>
      </c>
      <c r="BC32" s="101"/>
      <c r="BD32" s="101"/>
      <c r="BE32" s="101"/>
      <c r="BF32" s="96">
        <v>3</v>
      </c>
      <c r="BG32" s="96" t="s">
        <v>228</v>
      </c>
      <c r="BQ32" s="134"/>
      <c r="BS32" s="140" t="s">
        <v>67</v>
      </c>
      <c r="BU32" s="134" t="s">
        <v>165</v>
      </c>
      <c r="BV32" s="96">
        <v>2</v>
      </c>
      <c r="BX32" s="105"/>
      <c r="BY32" s="105"/>
      <c r="BZ32" s="105"/>
      <c r="CA32" s="105"/>
      <c r="CB32" s="105"/>
      <c r="CC32" s="105"/>
      <c r="CD32" s="105"/>
    </row>
    <row r="33" spans="1:74" ht="8.25" customHeight="1">
      <c r="A33" s="5"/>
      <c r="B33" s="324"/>
      <c r="C33" s="5"/>
      <c r="D33" s="454">
        <f>+IF(S24=3,LOOKUP(W25,BA29:BB32),"")</f>
      </c>
      <c r="E33" s="455"/>
      <c r="F33" s="456"/>
      <c r="G33" s="267"/>
      <c r="H33" s="267"/>
      <c r="I33" s="267"/>
      <c r="J33" s="216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76"/>
      <c r="AG33" s="138"/>
      <c r="AH33" s="138">
        <v>2</v>
      </c>
      <c r="AI33" s="138" t="s">
        <v>80</v>
      </c>
      <c r="AJ33" s="138"/>
      <c r="AK33" s="101"/>
      <c r="AL33" s="101"/>
      <c r="AM33" s="138">
        <f>+AN33</f>
        <v>0</v>
      </c>
      <c r="AN33" s="138">
        <f>+IF(AND(D33="Tradicional",H32="Online",V6="Pospago-Cesion"),1,0)</f>
        <v>0</v>
      </c>
      <c r="AO33" s="101"/>
      <c r="AP33" s="101"/>
      <c r="AQ33" s="101"/>
      <c r="AR33" s="102" t="s">
        <v>9</v>
      </c>
      <c r="AS33" s="102">
        <v>4</v>
      </c>
      <c r="AT33" s="101"/>
      <c r="AU33" s="101"/>
      <c r="AV33" s="103"/>
      <c r="AW33" s="103"/>
      <c r="AX33" s="103">
        <v>23</v>
      </c>
      <c r="AY33" s="103"/>
      <c r="AZ33" s="101"/>
      <c r="BA33" s="101"/>
      <c r="BB33" s="101"/>
      <c r="BC33" s="101"/>
      <c r="BD33" s="101"/>
      <c r="BE33" s="101"/>
      <c r="BF33" s="96">
        <v>1</v>
      </c>
      <c r="BG33" s="96" t="s">
        <v>128</v>
      </c>
      <c r="BS33" s="140" t="s">
        <v>69</v>
      </c>
      <c r="BU33" s="135" t="s">
        <v>93</v>
      </c>
      <c r="BV33" s="96">
        <v>2</v>
      </c>
    </row>
    <row r="34" spans="1:74" ht="17.25" customHeight="1">
      <c r="A34" s="5"/>
      <c r="B34" s="324"/>
      <c r="C34" s="5"/>
      <c r="D34" s="309">
        <f>+IF(S24=3,"Consulta Evidente:","")</f>
      </c>
      <c r="E34" s="310"/>
      <c r="F34" s="310"/>
      <c r="G34" s="311"/>
      <c r="H34" s="370">
        <f>+IF(S24=3,I35,"")</f>
      </c>
      <c r="I34" s="371"/>
      <c r="J34" s="316">
        <f>+IF(AG36&gt;=1,AG37,"")</f>
      </c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76"/>
      <c r="AC34" s="95" t="e">
        <f>+AD34+AE34</f>
        <v>#N/A</v>
      </c>
      <c r="AD34" s="95" t="e">
        <f>+IF(AND(S24=3,Z6=1,D33="tradicional",V52=1),2,0)</f>
        <v>#N/A</v>
      </c>
      <c r="AE34" s="95" t="e">
        <f>+IF(AND(S24=3,AD34=0),1,0)</f>
        <v>#N/A</v>
      </c>
      <c r="AG34" s="138"/>
      <c r="AH34" s="138">
        <v>3</v>
      </c>
      <c r="AI34" s="138" t="s">
        <v>94</v>
      </c>
      <c r="AJ34" s="138"/>
      <c r="AK34" s="101"/>
      <c r="AL34" s="101"/>
      <c r="AM34" s="138" t="e">
        <f>LOOKUP(AM33,AN35:AO36)</f>
        <v>#N/A</v>
      </c>
      <c r="AN34" s="138"/>
      <c r="AO34" s="101"/>
      <c r="AP34" s="101"/>
      <c r="AQ34" s="101"/>
      <c r="AR34" s="102" t="s">
        <v>19</v>
      </c>
      <c r="AS34" s="102">
        <v>7</v>
      </c>
      <c r="AT34" s="101"/>
      <c r="AU34" s="101"/>
      <c r="AV34" s="103"/>
      <c r="AW34" s="103"/>
      <c r="AX34" s="103">
        <v>24</v>
      </c>
      <c r="AY34" s="103"/>
      <c r="AZ34" s="101"/>
      <c r="BA34" s="101"/>
      <c r="BB34" s="101"/>
      <c r="BC34" s="101"/>
      <c r="BD34" s="101"/>
      <c r="BE34" s="101"/>
      <c r="BF34" s="96">
        <v>2</v>
      </c>
      <c r="BG34" s="96" t="s">
        <v>32</v>
      </c>
      <c r="BS34" s="140" t="s">
        <v>68</v>
      </c>
      <c r="BU34" s="135" t="s">
        <v>68</v>
      </c>
      <c r="BV34" s="96">
        <v>1</v>
      </c>
    </row>
    <row r="35" spans="1:74" ht="8.25" customHeight="1">
      <c r="A35" s="5"/>
      <c r="B35" s="324"/>
      <c r="C35" s="5"/>
      <c r="D35" s="323"/>
      <c r="E35" s="323"/>
      <c r="F35" s="323"/>
      <c r="G35" s="323"/>
      <c r="H35" s="72">
        <f>+IF(AND(S24=3,N50=1),1,0)</f>
        <v>0</v>
      </c>
      <c r="I35" s="72" t="str">
        <f>+IF(H35=1,"No","Si")</f>
        <v>Si</v>
      </c>
      <c r="J35" s="217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76"/>
      <c r="AG35" s="101"/>
      <c r="AH35" s="101"/>
      <c r="AI35" s="101"/>
      <c r="AJ35" s="101"/>
      <c r="AK35" s="101"/>
      <c r="AL35" s="101"/>
      <c r="AM35" s="138"/>
      <c r="AN35" s="138">
        <v>1</v>
      </c>
      <c r="AO35" s="138" t="s">
        <v>257</v>
      </c>
      <c r="AP35" s="101"/>
      <c r="AQ35" s="101"/>
      <c r="AR35" s="102" t="s">
        <v>10</v>
      </c>
      <c r="AS35" s="102">
        <v>5</v>
      </c>
      <c r="AT35" s="101"/>
      <c r="AU35" s="101"/>
      <c r="AV35" s="103"/>
      <c r="AW35" s="103"/>
      <c r="AX35" s="103">
        <v>25</v>
      </c>
      <c r="AY35" s="103"/>
      <c r="AZ35" s="101"/>
      <c r="BA35" s="101"/>
      <c r="BB35" s="101"/>
      <c r="BC35" s="101"/>
      <c r="BD35" s="101"/>
      <c r="BE35" s="101"/>
      <c r="BS35" s="140" t="s">
        <v>93</v>
      </c>
      <c r="BU35" s="139" t="s">
        <v>71</v>
      </c>
      <c r="BV35" s="96">
        <v>1</v>
      </c>
    </row>
    <row r="36" spans="1:86" ht="42" customHeight="1">
      <c r="A36" s="5"/>
      <c r="B36" s="324"/>
      <c r="C36" s="5"/>
      <c r="D36" s="309">
        <f>+IF(S24=3,"Observaciones:","")</f>
      </c>
      <c r="E36" s="310"/>
      <c r="F36" s="310"/>
      <c r="G36" s="311"/>
      <c r="H36" s="325">
        <f>+IF(S24=3,LOOKUP(W53,U54:V104),"")</f>
      </c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7"/>
      <c r="U36" s="323"/>
      <c r="V36" s="324"/>
      <c r="W36" s="324"/>
      <c r="X36" s="324"/>
      <c r="Y36" s="324"/>
      <c r="Z36" s="324"/>
      <c r="AA36" s="324"/>
      <c r="AB36" s="76"/>
      <c r="AD36" s="95">
        <v>1</v>
      </c>
      <c r="AE36" s="95">
        <f>+IF(S24=3,D33,"")</f>
      </c>
      <c r="AG36" s="138">
        <f>+AH36</f>
        <v>0</v>
      </c>
      <c r="AH36" s="138">
        <f>+IF(AND(N8&lt;8,H34="No"),1,0)</f>
        <v>0</v>
      </c>
      <c r="AI36" s="101"/>
      <c r="AJ36" s="101"/>
      <c r="AK36" s="101"/>
      <c r="AL36" s="101"/>
      <c r="AM36" s="101"/>
      <c r="AN36" s="101"/>
      <c r="AO36" s="101"/>
      <c r="AP36" s="101"/>
      <c r="AQ36" s="101"/>
      <c r="AR36" s="101" t="s">
        <v>113</v>
      </c>
      <c r="AS36" s="101"/>
      <c r="AT36" s="101"/>
      <c r="AU36" s="101"/>
      <c r="AV36" s="103"/>
      <c r="AW36" s="103"/>
      <c r="AX36" s="103">
        <v>26</v>
      </c>
      <c r="AY36" s="103"/>
      <c r="AZ36" s="101"/>
      <c r="BA36" s="101"/>
      <c r="BB36" s="101"/>
      <c r="BC36" s="101"/>
      <c r="BD36" s="363" t="s">
        <v>38</v>
      </c>
      <c r="BE36" s="363"/>
      <c r="BF36" s="367" t="s">
        <v>40</v>
      </c>
      <c r="BG36" s="367"/>
      <c r="BH36" s="367" t="s">
        <v>39</v>
      </c>
      <c r="BI36" s="367"/>
      <c r="BM36" s="367" t="s">
        <v>76</v>
      </c>
      <c r="BN36" s="367"/>
      <c r="BO36" s="367"/>
      <c r="BP36" s="367"/>
      <c r="BQ36" s="367"/>
      <c r="BR36" s="367"/>
      <c r="BS36" s="367"/>
      <c r="BT36" s="367"/>
      <c r="BU36" s="367"/>
      <c r="BZ36" s="367" t="s">
        <v>77</v>
      </c>
      <c r="CA36" s="367"/>
      <c r="CB36" s="367"/>
      <c r="CC36" s="367"/>
      <c r="CD36" s="367"/>
      <c r="CE36" s="367"/>
      <c r="CF36" s="367"/>
      <c r="CG36" s="367"/>
      <c r="CH36" s="367"/>
    </row>
    <row r="37" spans="1:86" ht="15" customHeight="1">
      <c r="A37" s="5"/>
      <c r="B37" s="324"/>
      <c r="C37" s="5"/>
      <c r="D37" s="446">
        <f>+IF(AO59&gt;=1,AO60,"")</f>
      </c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76"/>
      <c r="AD37" s="95">
        <v>2</v>
      </c>
      <c r="AE37" s="95" t="s">
        <v>127</v>
      </c>
      <c r="AG37" s="138" t="e">
        <f>LOOKUP(AG36,AH38:AI39)</f>
        <v>#N/A</v>
      </c>
      <c r="AH37" s="138"/>
      <c r="AI37" s="101"/>
      <c r="AJ37" s="101"/>
      <c r="AK37" s="101"/>
      <c r="AL37" s="101"/>
      <c r="AM37" s="101"/>
      <c r="AN37" s="101"/>
      <c r="AO37" s="101"/>
      <c r="AP37" s="138">
        <f>+AQ37+AR37</f>
        <v>0</v>
      </c>
      <c r="AQ37" s="138">
        <f>+IF(OR(L17&lt;&gt;4,AND(M6=3,Q7=2),AND(M6=4,Q7=2)),0,LOOKUP(N13,AP11:AQ14))</f>
        <v>0</v>
      </c>
      <c r="AR37" s="138">
        <f>+IF(AND(L17=4,M6=3,Q7=2),1,0)</f>
        <v>0</v>
      </c>
      <c r="AS37" s="138"/>
      <c r="AT37" s="101"/>
      <c r="AU37" s="101"/>
      <c r="AV37" s="103"/>
      <c r="AW37" s="103"/>
      <c r="AX37" s="103">
        <v>27</v>
      </c>
      <c r="AY37" s="103"/>
      <c r="AZ37" s="101"/>
      <c r="BA37" s="101"/>
      <c r="BB37" s="363" t="s">
        <v>41</v>
      </c>
      <c r="BC37" s="363"/>
      <c r="BD37" s="101">
        <v>1</v>
      </c>
      <c r="BE37" s="141" t="str">
        <f>+IF(N1=1,"Tres últimas colillas de pago","Tres últimas colillas de pago o certificación laboral")</f>
        <v>Tres últimas colillas de pago o certificación laboral</v>
      </c>
      <c r="BF37" s="96">
        <v>1</v>
      </c>
      <c r="BG37" s="142" t="s">
        <v>47</v>
      </c>
      <c r="BH37" s="96">
        <v>1</v>
      </c>
      <c r="BI37" s="142" t="s">
        <v>48</v>
      </c>
      <c r="BM37" s="367" t="s">
        <v>17</v>
      </c>
      <c r="BN37" s="367"/>
      <c r="BO37" s="367">
        <v>900000</v>
      </c>
      <c r="BP37" s="367"/>
      <c r="BQ37" s="367">
        <f>+W15</f>
        <v>0</v>
      </c>
      <c r="BR37" s="367"/>
      <c r="BS37" s="367">
        <f>+BO37*BQ37</f>
        <v>0</v>
      </c>
      <c r="BT37" s="367"/>
      <c r="BU37" s="367"/>
      <c r="BZ37" s="367" t="s">
        <v>17</v>
      </c>
      <c r="CA37" s="367"/>
      <c r="CB37" s="367">
        <v>700000</v>
      </c>
      <c r="CC37" s="367"/>
      <c r="CD37" s="367">
        <f>+W15</f>
        <v>0</v>
      </c>
      <c r="CE37" s="367"/>
      <c r="CF37" s="367">
        <f>+CB37*CD37</f>
        <v>0</v>
      </c>
      <c r="CG37" s="367"/>
      <c r="CH37" s="367"/>
    </row>
    <row r="38" spans="1:86" ht="15" customHeight="1">
      <c r="A38" s="5"/>
      <c r="B38" s="428">
        <f>+IF(AND(H28="si",OR(D19="Puede ofrecer: Estrategia 3 - Solo aplica para una linea",S24=3)),"*** INFORMATIVOS ***","")</f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86"/>
      <c r="AG38" s="138"/>
      <c r="AH38" s="138">
        <v>1</v>
      </c>
      <c r="AI38" s="138" t="s">
        <v>183</v>
      </c>
      <c r="AJ38" s="101"/>
      <c r="AK38" s="101"/>
      <c r="AL38" s="101"/>
      <c r="AM38" s="211" t="str">
        <f>+(AM39&amp;AM40&amp;AN39&amp;AN40&amp;AN39&amp;AO40&amp;AP40&amp;AQ40&amp;AR40&amp;AS40&amp;AT40&amp;AO39&amp;AP39&amp;AQ39&amp;AR39&amp;AU40&amp;AV40&amp;AW40&amp;AT39)</f>
        <v>  </v>
      </c>
      <c r="AN38" s="101"/>
      <c r="AO38" s="101"/>
      <c r="AP38" s="101"/>
      <c r="AQ38" s="101"/>
      <c r="AR38" s="101"/>
      <c r="AS38" s="101"/>
      <c r="AT38" s="101"/>
      <c r="AU38" s="101"/>
      <c r="AV38" s="103"/>
      <c r="AW38" s="103"/>
      <c r="AX38" s="103">
        <v>28</v>
      </c>
      <c r="AY38" s="103"/>
      <c r="AZ38" s="101"/>
      <c r="BA38" s="101"/>
      <c r="BB38" s="363" t="s">
        <v>42</v>
      </c>
      <c r="BC38" s="363"/>
      <c r="BD38" s="101">
        <v>2</v>
      </c>
      <c r="BE38" s="141" t="s">
        <v>49</v>
      </c>
      <c r="BF38" s="96">
        <v>2</v>
      </c>
      <c r="BG38" s="142" t="s">
        <v>47</v>
      </c>
      <c r="BH38" s="96">
        <v>2</v>
      </c>
      <c r="BI38" s="142" t="s">
        <v>50</v>
      </c>
      <c r="BM38" s="367" t="s">
        <v>57</v>
      </c>
      <c r="BN38" s="367"/>
      <c r="BO38" s="367">
        <v>650000</v>
      </c>
      <c r="BP38" s="367"/>
      <c r="BQ38" s="367">
        <f>+W16</f>
        <v>0</v>
      </c>
      <c r="BR38" s="367"/>
      <c r="BS38" s="367">
        <f>+BO38*BQ38</f>
        <v>0</v>
      </c>
      <c r="BT38" s="367"/>
      <c r="BU38" s="367"/>
      <c r="BZ38" s="367" t="s">
        <v>57</v>
      </c>
      <c r="CA38" s="367"/>
      <c r="CB38" s="367">
        <v>500000</v>
      </c>
      <c r="CC38" s="367"/>
      <c r="CD38" s="367">
        <f>+W16</f>
        <v>0</v>
      </c>
      <c r="CE38" s="367"/>
      <c r="CF38" s="367">
        <f>+CB38*CD38</f>
        <v>0</v>
      </c>
      <c r="CG38" s="367"/>
      <c r="CH38" s="367"/>
    </row>
    <row r="39" spans="1:86" ht="15" customHeight="1">
      <c r="A39" s="5"/>
      <c r="B39" s="429">
        <f>+IF(AND(D19="Puede ofrecer: Estrategia 3",S24=3,AF1=1),"Orden de documentos:","")</f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1"/>
      <c r="O39" s="435">
        <f>+IF(OR(B38="",H28="No"),"","Ver requisitos soportes (Da Click)")</f>
      </c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7"/>
      <c r="AB39" s="86"/>
      <c r="AG39" s="101"/>
      <c r="AH39" s="101"/>
      <c r="AI39" s="101"/>
      <c r="AJ39" s="101"/>
      <c r="AK39" s="101"/>
      <c r="AL39" s="101"/>
      <c r="AM39" s="212">
        <f>+IF(AND(I16=1,T15=0),"Indique la gama de la línea activa del usuario","")</f>
      </c>
      <c r="AN39" s="212" t="s">
        <v>223</v>
      </c>
      <c r="AO39" s="212">
        <f>+IF(AND(I16=1,T15=2),"Te sobra 1 linea en Cant. x gamas","")</f>
      </c>
      <c r="AP39" s="212">
        <f>+IF(AND(I16=1,T15&gt;2),"Te sobran ","")</f>
      </c>
      <c r="AQ39" s="212">
        <f>+IF(AND(I16=1,T15&gt;2),T15-I16,"")</f>
      </c>
      <c r="AR39" s="212">
        <f>+IF(AND(I16=1,T15&gt;2)," lineas en Cant. x gamas","")</f>
      </c>
      <c r="AS39" s="101"/>
      <c r="AT39" s="213">
        <f>+IF(AND(I16&gt;1,(T15-I16)&gt;1)," lineas en Cant. x gamas","")</f>
      </c>
      <c r="AU39" s="101"/>
      <c r="AV39" s="103"/>
      <c r="AW39" s="103"/>
      <c r="AX39" s="103">
        <v>29</v>
      </c>
      <c r="AY39" s="103"/>
      <c r="AZ39" s="101"/>
      <c r="BA39" s="101"/>
      <c r="BB39" s="363" t="s">
        <v>43</v>
      </c>
      <c r="BC39" s="363"/>
      <c r="BD39" s="101">
        <v>3</v>
      </c>
      <c r="BE39" s="141" t="s">
        <v>51</v>
      </c>
      <c r="BF39" s="96">
        <v>3</v>
      </c>
      <c r="BG39" s="142" t="s">
        <v>52</v>
      </c>
      <c r="BH39" s="96">
        <v>3</v>
      </c>
      <c r="BI39" s="142" t="s">
        <v>53</v>
      </c>
      <c r="BM39" s="367" t="s">
        <v>15</v>
      </c>
      <c r="BN39" s="367"/>
      <c r="BO39" s="367">
        <v>450000</v>
      </c>
      <c r="BP39" s="367"/>
      <c r="BQ39" s="367">
        <f>+W17</f>
        <v>0</v>
      </c>
      <c r="BR39" s="367"/>
      <c r="BS39" s="367">
        <f>+BO39*BQ39</f>
        <v>0</v>
      </c>
      <c r="BT39" s="367"/>
      <c r="BU39" s="367"/>
      <c r="BZ39" s="367" t="s">
        <v>15</v>
      </c>
      <c r="CA39" s="367"/>
      <c r="CB39" s="367">
        <v>450000</v>
      </c>
      <c r="CC39" s="367"/>
      <c r="CD39" s="367">
        <f>+W17</f>
        <v>0</v>
      </c>
      <c r="CE39" s="367"/>
      <c r="CF39" s="367">
        <f>+CB39*CD39</f>
        <v>0</v>
      </c>
      <c r="CG39" s="367"/>
      <c r="CH39" s="367"/>
    </row>
    <row r="40" spans="1:86" ht="26.25" customHeight="1">
      <c r="A40" s="5"/>
      <c r="B40" s="318">
        <f>+IF(AND(D19="Puede ofrecer: Estrategia 3",S24=3,AF1=1),"1. Autorizaciones antes de la solicitud de servicio, resaltando la autorización y la persona que la dio. Y si es Pospago-Cesion el formato para Cesion de Contrato (Opcional)*","")</f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3"/>
      <c r="O40" s="438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40"/>
      <c r="AB40" s="86"/>
      <c r="AG40" s="101"/>
      <c r="AH40" s="101"/>
      <c r="AI40" s="101"/>
      <c r="AJ40" s="101"/>
      <c r="AK40" s="101"/>
      <c r="AL40" s="101"/>
      <c r="AM40" s="212">
        <f>+IF(AND(I16&gt;1,T15=0),"Indique la gama de las","")</f>
      </c>
      <c r="AN40" s="212">
        <f>+IF(AND(I16&gt;1,T15=0),I16,"")</f>
      </c>
      <c r="AO40" s="212">
        <f>+IF(AND(I16&gt;1,T15=0),"líneas activas del usuario","")</f>
      </c>
      <c r="AP40" s="214">
        <f>+IF(AND(T15&gt;=1,OR(I16=0,I16="")),"Debes borrar los valores ingresados en cada gama","")</f>
      </c>
      <c r="AQ40" s="212">
        <f>+IF(AND(I16&gt;1,T15&gt;=1,T15&lt;I16),"Falta por incluir ","")</f>
      </c>
      <c r="AR40" s="212">
        <f>+IF(AND(I16&gt;1,T15&gt;=1,T15&lt;I16),I16-T15,"")</f>
      </c>
      <c r="AS40" s="212">
        <f>+IF(AR40=1," linea","")</f>
      </c>
      <c r="AT40" s="212">
        <f>+IF(AND(AR40&lt;&gt;"",AR40&gt;1)," lineas","")</f>
      </c>
      <c r="AU40" s="212">
        <f>+IF(AND(I16&gt;1,(T15-I16)=1),"Te sobra 1 linea en Cant. x gamas","")</f>
      </c>
      <c r="AV40" s="213">
        <f>+IF(AND(I16&gt;1,(T15-I16)&gt;1),"Te sobran ","")</f>
      </c>
      <c r="AW40" s="213">
        <f>+IF(AND(I16&gt;1,(T15-I16)&gt;1),T15-I16,"")</f>
      </c>
      <c r="AX40" s="103">
        <v>30</v>
      </c>
      <c r="AY40" s="103"/>
      <c r="AZ40" s="101"/>
      <c r="BA40" s="101"/>
      <c r="BB40" s="363" t="s">
        <v>44</v>
      </c>
      <c r="BC40" s="363"/>
      <c r="BD40" s="101">
        <v>4</v>
      </c>
      <c r="BE40" s="141" t="s">
        <v>51</v>
      </c>
      <c r="BF40" s="96">
        <v>4</v>
      </c>
      <c r="BG40" s="142" t="s">
        <v>52</v>
      </c>
      <c r="BH40" s="96">
        <v>4</v>
      </c>
      <c r="BI40" s="96" t="s">
        <v>56</v>
      </c>
      <c r="BM40" s="367"/>
      <c r="BN40" s="367"/>
      <c r="BS40" s="367">
        <f>SUM(BS37:BU39)</f>
        <v>0</v>
      </c>
      <c r="BT40" s="367"/>
      <c r="BU40" s="367"/>
      <c r="BZ40" s="367"/>
      <c r="CA40" s="367"/>
      <c r="CF40" s="367">
        <f>SUM(CF37:CH39)</f>
        <v>0</v>
      </c>
      <c r="CG40" s="367"/>
      <c r="CH40" s="367"/>
    </row>
    <row r="41" spans="1:64" ht="16.5" customHeight="1">
      <c r="A41" s="5"/>
      <c r="B41" s="318">
        <f>+IF(AND(D19="Puede ofrecer: Estrategia 3",S24=3,AF1=1),"2. Solicitud de servicio","")</f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3"/>
      <c r="O41" s="314">
        <f>+IF(OR(B38="",H28="No"),"","Empleados:")</f>
      </c>
      <c r="P41" s="315"/>
      <c r="Q41" s="315"/>
      <c r="R41" s="312">
        <f>+IF(O41="Empleados:",LOOKUP(N8,BD37:BE45),"")</f>
      </c>
      <c r="S41" s="312"/>
      <c r="T41" s="312"/>
      <c r="U41" s="312"/>
      <c r="V41" s="312"/>
      <c r="W41" s="312"/>
      <c r="X41" s="312"/>
      <c r="Y41" s="312"/>
      <c r="Z41" s="312"/>
      <c r="AA41" s="313"/>
      <c r="AB41" s="87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3"/>
      <c r="AW41" s="103"/>
      <c r="AX41" s="103">
        <v>31</v>
      </c>
      <c r="AY41" s="103"/>
      <c r="AZ41" s="101"/>
      <c r="BA41" s="101"/>
      <c r="BB41" s="363" t="s">
        <v>45</v>
      </c>
      <c r="BC41" s="363"/>
      <c r="BD41" s="101">
        <v>5</v>
      </c>
      <c r="BE41" s="101" t="s">
        <v>51</v>
      </c>
      <c r="BF41" s="96">
        <v>5</v>
      </c>
      <c r="BG41" s="96" t="s">
        <v>52</v>
      </c>
      <c r="BH41" s="96">
        <v>5</v>
      </c>
      <c r="BI41" s="96" t="s">
        <v>55</v>
      </c>
      <c r="BL41" s="96">
        <v>0</v>
      </c>
    </row>
    <row r="42" spans="1:66" ht="16.5" customHeight="1">
      <c r="A42" s="5"/>
      <c r="B42" s="318">
        <f>+IF(AND(D19="Puede ofrecer: Estrategia 3",S24=3,AF1=1),"3. Contrato prestacion de servicio (Clausulas)","")</f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3"/>
      <c r="O42" s="314"/>
      <c r="P42" s="315"/>
      <c r="Q42" s="315"/>
      <c r="R42" s="312"/>
      <c r="S42" s="312"/>
      <c r="T42" s="312"/>
      <c r="U42" s="312"/>
      <c r="V42" s="312"/>
      <c r="W42" s="312"/>
      <c r="X42" s="312"/>
      <c r="Y42" s="312"/>
      <c r="Z42" s="312"/>
      <c r="AA42" s="313"/>
      <c r="AB42" s="87"/>
      <c r="AG42" s="138">
        <f>+AH42+AI42+AJ42</f>
        <v>0</v>
      </c>
      <c r="AH42" s="138">
        <f>+IF(AND(L17=4,Y20=2,Z20=2,N8&lt;&gt;8),1,0)</f>
        <v>0</v>
      </c>
      <c r="AI42" s="138">
        <f>+IF(AND(L17=4,Y20=2,Z20=2,N8=8),2,0)</f>
        <v>0</v>
      </c>
      <c r="AJ42" s="101"/>
      <c r="AK42" s="101">
        <f>+IF(AND(L17=4,M6=4,I16&gt;=1,U10=0,N10=1),3,0)</f>
        <v>0</v>
      </c>
      <c r="AL42" s="138">
        <f>+IF(AND(M6=2,L17=4,I16&gt;=1,Z20=2,W20&lt;=AP20),3,0)</f>
        <v>0</v>
      </c>
      <c r="AM42" s="101"/>
      <c r="AN42" s="101"/>
      <c r="AO42" s="101"/>
      <c r="AP42" s="101"/>
      <c r="AQ42" s="101"/>
      <c r="AR42" s="138">
        <f>+AS42+AT42+AU42+AV42+AW42</f>
        <v>0</v>
      </c>
      <c r="AS42" s="138">
        <f>+IF(OR(I13="",N13=""),0,1)</f>
        <v>0</v>
      </c>
      <c r="AT42" s="138">
        <f>+IF(AND(M6=3,I13&lt;&gt;"",N13="",Q7=2),1,0)</f>
        <v>0</v>
      </c>
      <c r="AU42" s="138">
        <f>+IF(AND(M6=3,N13&lt;&gt;"",Q7=2),-1,0)</f>
        <v>0</v>
      </c>
      <c r="AV42" s="138">
        <f>+IF(AND(M6=4,I13&lt;&gt;"",N13="",Q7=2),1,0)</f>
        <v>0</v>
      </c>
      <c r="AW42" s="138">
        <f>+IF(AND(M6=4,N13&lt;&gt;"",Q7=2),-1,0)</f>
        <v>0</v>
      </c>
      <c r="AX42" s="103">
        <v>32</v>
      </c>
      <c r="AY42" s="103"/>
      <c r="AZ42" s="101"/>
      <c r="BA42" s="101"/>
      <c r="BB42" s="363" t="s">
        <v>46</v>
      </c>
      <c r="BC42" s="363"/>
      <c r="BD42" s="101">
        <v>6</v>
      </c>
      <c r="BE42" s="101" t="s">
        <v>51</v>
      </c>
      <c r="BF42" s="96">
        <v>6</v>
      </c>
      <c r="BG42" s="142" t="s">
        <v>52</v>
      </c>
      <c r="BH42" s="96">
        <v>6</v>
      </c>
      <c r="BI42" s="96" t="s">
        <v>54</v>
      </c>
      <c r="BL42" s="96">
        <v>1</v>
      </c>
      <c r="BM42" s="96" t="s">
        <v>71</v>
      </c>
      <c r="BN42" s="96">
        <f>+$BS$40</f>
        <v>0</v>
      </c>
    </row>
    <row r="43" spans="1:66" ht="17.25" customHeight="1">
      <c r="A43" s="5"/>
      <c r="B43" s="318">
        <f>+IF(AND(D19="Puede ofrecer: Estrategia 3",S24=3,AF1=1),"4. Pagare y Carta de instrucciones","")</f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3"/>
      <c r="O43" s="314">
        <f>+IF(OR(B38="",H28="No"),"","Pensionados:")</f>
      </c>
      <c r="P43" s="315"/>
      <c r="Q43" s="315"/>
      <c r="R43" s="312">
        <f>+IF(O41="Empleados:",LOOKUP(N8,BF37:BG45),"")</f>
      </c>
      <c r="S43" s="312"/>
      <c r="T43" s="312"/>
      <c r="U43" s="312"/>
      <c r="V43" s="312"/>
      <c r="W43" s="312"/>
      <c r="X43" s="312"/>
      <c r="Y43" s="312"/>
      <c r="Z43" s="312"/>
      <c r="AA43" s="313"/>
      <c r="AB43" s="87"/>
      <c r="AG43" s="138" t="e">
        <f>LOOKUP(AG42,AH44:AI46)</f>
        <v>#N/A</v>
      </c>
      <c r="AH43" s="138"/>
      <c r="AI43" s="138"/>
      <c r="AJ43" s="138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3"/>
      <c r="AW43" s="103"/>
      <c r="AX43" s="103">
        <v>33</v>
      </c>
      <c r="AY43" s="103"/>
      <c r="AZ43" s="101"/>
      <c r="BA43" s="101"/>
      <c r="BB43" s="363" t="s">
        <v>81</v>
      </c>
      <c r="BC43" s="363"/>
      <c r="BD43" s="101">
        <v>7</v>
      </c>
      <c r="BE43" s="101"/>
      <c r="BF43" s="96">
        <v>7</v>
      </c>
      <c r="BH43" s="96">
        <v>7</v>
      </c>
      <c r="BL43" s="96">
        <v>2</v>
      </c>
      <c r="BM43" s="96" t="s">
        <v>64</v>
      </c>
      <c r="BN43" s="96">
        <f aca="true" t="shared" si="1" ref="BN43:BN52">+$BS$40</f>
        <v>0</v>
      </c>
    </row>
    <row r="44" spans="1:66" ht="19.5" customHeight="1">
      <c r="A44" s="5"/>
      <c r="B44" s="318">
        <f>+IF(AND(D19="Puede ofrecer: Estrategia 3",S24=3,AF1=1),"5. Consulta de crédito (Decifra con seriales)","")</f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3"/>
      <c r="O44" s="314"/>
      <c r="P44" s="315"/>
      <c r="Q44" s="315"/>
      <c r="R44" s="312"/>
      <c r="S44" s="312"/>
      <c r="T44" s="312"/>
      <c r="U44" s="312"/>
      <c r="V44" s="312"/>
      <c r="W44" s="312"/>
      <c r="X44" s="312"/>
      <c r="Y44" s="312"/>
      <c r="Z44" s="312"/>
      <c r="AA44" s="313"/>
      <c r="AB44" s="87"/>
      <c r="AG44" s="138"/>
      <c r="AH44" s="138">
        <v>1</v>
      </c>
      <c r="AI44" s="138" t="s">
        <v>132</v>
      </c>
      <c r="AJ44" s="138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3"/>
      <c r="AW44" s="103"/>
      <c r="AX44" s="103">
        <v>34</v>
      </c>
      <c r="AY44" s="103"/>
      <c r="AZ44" s="101"/>
      <c r="BA44" s="101"/>
      <c r="BB44" s="363" t="s">
        <v>20</v>
      </c>
      <c r="BC44" s="363"/>
      <c r="BD44" s="101">
        <v>8</v>
      </c>
      <c r="BE44" s="101" t="s">
        <v>82</v>
      </c>
      <c r="BF44" s="96">
        <v>8</v>
      </c>
      <c r="BG44" s="101" t="s">
        <v>82</v>
      </c>
      <c r="BH44" s="96">
        <v>8</v>
      </c>
      <c r="BI44" s="101" t="s">
        <v>82</v>
      </c>
      <c r="BL44" s="96">
        <v>3</v>
      </c>
      <c r="BM44" s="96" t="s">
        <v>65</v>
      </c>
      <c r="BN44" s="96">
        <f>+$BS$40</f>
        <v>0</v>
      </c>
    </row>
    <row r="45" spans="1:66" ht="24" customHeight="1">
      <c r="A45" s="5"/>
      <c r="B45" s="318">
        <f>+IF(AND(D19="Puede ofrecer: Estrategia 3",S24=3,AF1=1),"6. Fotocopia del documento de identidad ( cedula en tamaño normal y ampliada según el caso)","")</f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3"/>
      <c r="O45" s="314">
        <f>+IF(OR(B38="",H28="No"),"","Independientes:")</f>
      </c>
      <c r="P45" s="315"/>
      <c r="Q45" s="315"/>
      <c r="R45" s="312">
        <f>+IF(O41="Empleados:",LOOKUP(N8,BH37:BI45),"")</f>
      </c>
      <c r="S45" s="312"/>
      <c r="T45" s="312"/>
      <c r="U45" s="312"/>
      <c r="V45" s="312"/>
      <c r="W45" s="312"/>
      <c r="X45" s="312"/>
      <c r="Y45" s="312"/>
      <c r="Z45" s="312"/>
      <c r="AA45" s="313"/>
      <c r="AB45" s="87"/>
      <c r="AG45" s="138"/>
      <c r="AH45" s="138">
        <v>2</v>
      </c>
      <c r="AI45" s="138" t="s">
        <v>83</v>
      </c>
      <c r="AJ45" s="138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3"/>
      <c r="AW45" s="103"/>
      <c r="AX45" s="103">
        <v>35</v>
      </c>
      <c r="AY45" s="103"/>
      <c r="AZ45" s="101"/>
      <c r="BA45" s="101"/>
      <c r="BB45" s="101"/>
      <c r="BC45" s="101"/>
      <c r="BD45" s="101">
        <v>9</v>
      </c>
      <c r="BE45" s="101"/>
      <c r="BF45" s="96">
        <v>9</v>
      </c>
      <c r="BH45" s="96">
        <v>9</v>
      </c>
      <c r="BL45" s="96">
        <v>4</v>
      </c>
      <c r="BM45" s="96" t="s">
        <v>66</v>
      </c>
      <c r="BN45" s="96">
        <f t="shared" si="1"/>
        <v>0</v>
      </c>
    </row>
    <row r="46" spans="1:66" ht="21" customHeight="1">
      <c r="A46" s="5"/>
      <c r="B46" s="318">
        <f>+IF(AND(BC53&gt;=1,AF1=1),BC54,"")</f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3"/>
      <c r="O46" s="314"/>
      <c r="P46" s="315"/>
      <c r="Q46" s="315"/>
      <c r="R46" s="312"/>
      <c r="S46" s="312"/>
      <c r="T46" s="312"/>
      <c r="U46" s="312"/>
      <c r="V46" s="312"/>
      <c r="W46" s="312"/>
      <c r="X46" s="312"/>
      <c r="Y46" s="312"/>
      <c r="Z46" s="312"/>
      <c r="AA46" s="313"/>
      <c r="AB46" s="87"/>
      <c r="AG46" s="138"/>
      <c r="AH46" s="138">
        <v>3</v>
      </c>
      <c r="AI46" s="138" t="s">
        <v>161</v>
      </c>
      <c r="AJ46" s="138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3"/>
      <c r="AW46" s="103"/>
      <c r="AX46" s="103"/>
      <c r="AY46" s="103"/>
      <c r="AZ46" s="101"/>
      <c r="BA46" s="101"/>
      <c r="BB46" s="101"/>
      <c r="BC46" s="101"/>
      <c r="BD46" s="101"/>
      <c r="BE46" s="101"/>
      <c r="BL46" s="96">
        <v>5</v>
      </c>
      <c r="BM46" s="96" t="s">
        <v>67</v>
      </c>
      <c r="BN46" s="96">
        <f t="shared" si="1"/>
        <v>0</v>
      </c>
    </row>
    <row r="47" spans="1:66" ht="17.25" customHeight="1">
      <c r="A47" s="5"/>
      <c r="B47" s="318">
        <f>+IF(AND(AO48&gt;=1,AF1=1),AO49,"")</f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3"/>
      <c r="O47" s="443">
        <f>+IF(O41="Empleados:","El valor minimo de ingresos a soportar","")</f>
      </c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5"/>
      <c r="AB47" s="88"/>
      <c r="AG47" s="101"/>
      <c r="AH47" s="101"/>
      <c r="AI47" s="138" t="s">
        <v>87</v>
      </c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3"/>
      <c r="AW47" s="103"/>
      <c r="AX47" s="103"/>
      <c r="AY47" s="103"/>
      <c r="AZ47" s="101"/>
      <c r="BA47" s="101"/>
      <c r="BB47" s="101"/>
      <c r="BC47" s="101"/>
      <c r="BD47" s="101"/>
      <c r="BE47" s="101"/>
      <c r="BL47" s="96">
        <v>6</v>
      </c>
      <c r="BM47" s="96" t="s">
        <v>68</v>
      </c>
      <c r="BN47" s="96">
        <f t="shared" si="1"/>
        <v>0</v>
      </c>
    </row>
    <row r="48" spans="1:66" ht="17.25" customHeight="1">
      <c r="A48" s="5"/>
      <c r="B48" s="447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9"/>
      <c r="O48" s="461">
        <f>+IF(O41="Empleados:","Seleccione la ciudad:","")</f>
      </c>
      <c r="P48" s="462"/>
      <c r="Q48" s="462"/>
      <c r="R48" s="306"/>
      <c r="S48" s="307"/>
      <c r="T48" s="308"/>
      <c r="U48" s="314">
        <f>+IF(O41="Empleados:","Vr. Ingresos","")</f>
      </c>
      <c r="V48" s="315"/>
      <c r="W48" s="320">
        <f>+IF(AND(O41="Empleados:",R48&lt;&gt;""),LOOKUP(U50,BL41:BN54),"")</f>
      </c>
      <c r="X48" s="321"/>
      <c r="Y48" s="321"/>
      <c r="Z48" s="321"/>
      <c r="AA48" s="322"/>
      <c r="AB48" s="88"/>
      <c r="AG48" s="138">
        <f>+AH48+AI48+AJ48+AK48+AL48+AM48</f>
        <v>0</v>
      </c>
      <c r="AH48" s="138">
        <f>+IF(AND(M6=1,L17=4,Y20=2,Z20=2,Z6=2,N8&lt;&gt;8),1,0)</f>
        <v>0</v>
      </c>
      <c r="AI48" s="143">
        <f>+IF(AND((OR(M6=2,M6=3)),Y20=2,L17=4,Z20=2,N8=8,Z6=2),2,0)</f>
        <v>0</v>
      </c>
      <c r="AJ48" s="138">
        <f>+IF(AND(M6=1,Y20=2,L17=4,Z20=2,N8=8,Z6=2),3,0)</f>
        <v>0</v>
      </c>
      <c r="AK48" s="138">
        <f>+IF(AND((OR(M6=2,M6=3)),L17=4,Y20=2,Z20=2,Z6=2,N8&lt;&gt;8),4,0)</f>
        <v>0</v>
      </c>
      <c r="AL48" s="138">
        <f>+IF(AND(L17=4,Y21=2,Z20=2,Z6=1,B20&gt;=W20,N8&lt;&gt;8,M6&lt;&gt;4),5,0)</f>
        <v>0</v>
      </c>
      <c r="AM48" s="138">
        <f>+IF(AND(L17=4,Y21=2,Z20=2,Z6=1,B20&gt;=W20,N8=8,M6&lt;&gt;4),6,0)</f>
        <v>0</v>
      </c>
      <c r="AN48" s="101"/>
      <c r="AO48" s="138">
        <f>+AP48+AQ48</f>
        <v>0</v>
      </c>
      <c r="AP48" s="138">
        <f>+IF(OR(D19="Puede ofrecer: Estrategia 3",AND(S24=3,M6=1)),1,0)</f>
        <v>0</v>
      </c>
      <c r="AQ48" s="138">
        <f>+IF(AND(S24=3,(OR(M6=2,M6=3,M6=4))),2,0)</f>
        <v>0</v>
      </c>
      <c r="AR48" s="101"/>
      <c r="AS48" s="101"/>
      <c r="AT48" s="101"/>
      <c r="AU48" s="101"/>
      <c r="AV48" s="103">
        <f>+AW48+AX48+AY48</f>
        <v>0</v>
      </c>
      <c r="AW48" s="103">
        <f>+IF(AND(N8=8,M6=4),1,0)</f>
        <v>0</v>
      </c>
      <c r="AX48" s="103">
        <f>+IF(AND(AW48=0,N8=8,N10&lt;&gt;1,I13&lt;&gt;"",I16&lt;&gt;""),0,0)</f>
        <v>0</v>
      </c>
      <c r="AY48" s="144">
        <f>+IF(AND(AW48=0,AX48=0,N8=8,I13&lt;&gt;"",I16&lt;&gt;"",(AND((OR(M6=1,M6=2)),N13="Abierto"))),3,0)</f>
        <v>0</v>
      </c>
      <c r="AZ48" s="101"/>
      <c r="BA48" s="101"/>
      <c r="BB48" s="101"/>
      <c r="BC48" s="101"/>
      <c r="BD48" s="101"/>
      <c r="BE48" s="101"/>
      <c r="BL48" s="96">
        <v>7</v>
      </c>
      <c r="BM48" s="96" t="s">
        <v>69</v>
      </c>
      <c r="BN48" s="96">
        <f t="shared" si="1"/>
        <v>0</v>
      </c>
    </row>
    <row r="49" spans="1:66" ht="12" customHeight="1">
      <c r="A49" s="5"/>
      <c r="B49" s="368" t="s">
        <v>264</v>
      </c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76"/>
      <c r="AG49" s="138" t="e">
        <f>LOOKUP(AG48,AH50:AI55)</f>
        <v>#N/A</v>
      </c>
      <c r="AH49" s="138"/>
      <c r="AI49" s="138"/>
      <c r="AJ49" s="138"/>
      <c r="AK49" s="138"/>
      <c r="AL49" s="138"/>
      <c r="AM49" s="138"/>
      <c r="AN49" s="101"/>
      <c r="AO49" s="138" t="e">
        <f>LOOKUP(AO48,AP50:AQ51)</f>
        <v>#N/A</v>
      </c>
      <c r="AP49" s="138"/>
      <c r="AQ49" s="138"/>
      <c r="AR49" s="101"/>
      <c r="AS49" s="101"/>
      <c r="AT49" s="101"/>
      <c r="AU49" s="101"/>
      <c r="AV49" s="103" t="e">
        <f>LOOKUP(AV48,AW50:AX52)</f>
        <v>#N/A</v>
      </c>
      <c r="AW49" s="103"/>
      <c r="AX49" s="103"/>
      <c r="AY49" s="103"/>
      <c r="AZ49" s="101"/>
      <c r="BA49" s="101"/>
      <c r="BB49" s="101"/>
      <c r="BC49" s="101"/>
      <c r="BD49" s="101"/>
      <c r="BE49" s="101"/>
      <c r="BL49" s="96">
        <v>8</v>
      </c>
      <c r="BM49" s="96" t="s">
        <v>70</v>
      </c>
      <c r="BN49" s="96">
        <f t="shared" si="1"/>
        <v>0</v>
      </c>
    </row>
    <row r="50" spans="1:66" ht="11.25" customHeight="1" hidden="1">
      <c r="A50" s="96"/>
      <c r="B50" s="96"/>
      <c r="C50" s="96"/>
      <c r="D50" s="96"/>
      <c r="E50" s="96"/>
      <c r="F50" s="96">
        <f>+IF(M6=1,F51+F61+F71+F111,F123)</f>
        <v>0</v>
      </c>
      <c r="G50" s="96"/>
      <c r="H50" s="96"/>
      <c r="I50" s="96"/>
      <c r="J50" s="96">
        <f>+IF(M6=1,J51+J61+J71+J81+J91+J101+J111,J123)</f>
        <v>0</v>
      </c>
      <c r="K50" s="96"/>
      <c r="L50" s="96"/>
      <c r="M50" s="96"/>
      <c r="N50" s="96">
        <f>+IF(M6=1,N51+N61+N71+N81+N91+N101+N111,N123)</f>
        <v>0</v>
      </c>
      <c r="O50" s="96"/>
      <c r="P50" s="96"/>
      <c r="Q50" s="96"/>
      <c r="R50" s="96"/>
      <c r="S50" s="96"/>
      <c r="T50" s="96"/>
      <c r="U50" s="148">
        <f>+IF(R48="",0,LOOKUP(R48,BM58:BN71))</f>
        <v>0</v>
      </c>
      <c r="V50" s="96"/>
      <c r="W50" s="96"/>
      <c r="X50" s="96"/>
      <c r="Y50" s="96"/>
      <c r="Z50" s="96"/>
      <c r="AA50" s="95"/>
      <c r="AB50" s="149"/>
      <c r="AH50" s="96">
        <v>1</v>
      </c>
      <c r="AI50" s="96" t="s">
        <v>138</v>
      </c>
      <c r="AP50" s="96">
        <v>1</v>
      </c>
      <c r="AQ50" s="96" t="s">
        <v>118</v>
      </c>
      <c r="AW50" s="96">
        <v>1</v>
      </c>
      <c r="AX50" s="96" t="s">
        <v>230</v>
      </c>
      <c r="BL50" s="96">
        <v>9</v>
      </c>
      <c r="BM50" s="96" t="s">
        <v>72</v>
      </c>
      <c r="BN50" s="96">
        <f t="shared" si="1"/>
        <v>0</v>
      </c>
    </row>
    <row r="51" spans="1:66" ht="11.25" customHeight="1" hidden="1">
      <c r="A51" s="96"/>
      <c r="B51" s="96"/>
      <c r="C51" s="96"/>
      <c r="D51" s="134" t="s">
        <v>22</v>
      </c>
      <c r="E51" s="96"/>
      <c r="F51" s="96" t="e">
        <f>+D52+D53+D54+D55+D56+G52+G53+G54+G55+G56</f>
        <v>#N/A</v>
      </c>
      <c r="G51" s="96"/>
      <c r="H51" s="97" t="s">
        <v>24</v>
      </c>
      <c r="I51" s="96"/>
      <c r="J51" s="96">
        <f>+H52+H53+H54+H55+H56+H57+H58+H59+H60+I52</f>
        <v>0</v>
      </c>
      <c r="K51" s="96"/>
      <c r="L51" s="134" t="s">
        <v>33</v>
      </c>
      <c r="M51" s="96"/>
      <c r="N51" s="96">
        <f>+L52+L53+L54+L55+L56+L57+L58+L59</f>
        <v>0</v>
      </c>
      <c r="O51" s="96"/>
      <c r="P51" s="96" t="s">
        <v>34</v>
      </c>
      <c r="Q51" s="96"/>
      <c r="R51" s="96">
        <f>+P52+P53+P54+P55+P56+P57+P58+P59</f>
        <v>0</v>
      </c>
      <c r="S51" s="96"/>
      <c r="T51" s="96"/>
      <c r="U51" s="96"/>
      <c r="V51" s="96"/>
      <c r="W51" s="96"/>
      <c r="X51" s="96"/>
      <c r="Y51" s="96"/>
      <c r="Z51" s="96"/>
      <c r="AA51" s="95"/>
      <c r="AB51" s="149"/>
      <c r="AH51" s="96">
        <v>2</v>
      </c>
      <c r="AI51" s="96" t="s">
        <v>139</v>
      </c>
      <c r="AP51" s="96">
        <v>2</v>
      </c>
      <c r="AQ51" s="96" t="s">
        <v>117</v>
      </c>
      <c r="AV51" s="96"/>
      <c r="AW51" s="96">
        <v>2</v>
      </c>
      <c r="AX51" s="96" t="s">
        <v>95</v>
      </c>
      <c r="BL51" s="96">
        <v>10</v>
      </c>
      <c r="BM51" s="96" t="s">
        <v>73</v>
      </c>
      <c r="BN51" s="96">
        <f t="shared" si="1"/>
        <v>0</v>
      </c>
    </row>
    <row r="52" spans="1:66" ht="11.25" customHeight="1" hidden="1">
      <c r="A52" s="303" t="s">
        <v>85</v>
      </c>
      <c r="B52" s="297" t="s">
        <v>6</v>
      </c>
      <c r="C52" s="298"/>
      <c r="D52" s="150" t="e">
        <f>+IF(AND(N1=1,W25&lt;3,N8=1,N10=2,I16&lt;=11),1,0)</f>
        <v>#N/A</v>
      </c>
      <c r="E52" s="151"/>
      <c r="F52" s="151"/>
      <c r="G52" s="152" t="e">
        <f>+IF(AND(N1=2,W25&lt;3,N8=1,N10=2,I16&lt;=5),1,0)</f>
        <v>#N/A</v>
      </c>
      <c r="H52" s="150">
        <f>+IF(AND(N8=1,N10=2,I16&gt;=1),1,0)</f>
        <v>0</v>
      </c>
      <c r="I52" s="151">
        <f>+IF(AND(N8=1,N10=5,I16=0,V13=1),1,0)</f>
        <v>0</v>
      </c>
      <c r="J52" s="151"/>
      <c r="K52" s="152"/>
      <c r="L52" s="150">
        <f>+IF(AND(N8=1,V13=1),1,0)</f>
        <v>0</v>
      </c>
      <c r="M52" s="151"/>
      <c r="N52" s="151"/>
      <c r="O52" s="152"/>
      <c r="P52" s="150">
        <f>+IF(AND(D33="Tradicional",N10=4),1,0)</f>
        <v>0</v>
      </c>
      <c r="Q52" s="151"/>
      <c r="R52" s="151"/>
      <c r="S52" s="152"/>
      <c r="T52" s="96">
        <f>+IF(AND(S24=3,R51=1),"Solicitar aval por el modulo de autorizaciones cartera","")</f>
      </c>
      <c r="U52" s="96"/>
      <c r="V52" s="96" t="e">
        <f>VLOOKUP(W53,U54:Y104,5,FALSE)</f>
        <v>#N/A</v>
      </c>
      <c r="W52" s="96"/>
      <c r="X52" s="96"/>
      <c r="Y52" s="96">
        <f>COUNTIF(T55:T100,"&gt;1")</f>
        <v>0</v>
      </c>
      <c r="Z52" s="96"/>
      <c r="AA52" s="95"/>
      <c r="AB52" s="149"/>
      <c r="AH52" s="96">
        <v>3</v>
      </c>
      <c r="AI52" s="96" t="s">
        <v>139</v>
      </c>
      <c r="AV52" s="96"/>
      <c r="AW52" s="96">
        <v>3</v>
      </c>
      <c r="AX52" s="97" t="s">
        <v>96</v>
      </c>
      <c r="BL52" s="96">
        <v>11</v>
      </c>
      <c r="BM52" s="96" t="s">
        <v>74</v>
      </c>
      <c r="BN52" s="96">
        <f t="shared" si="1"/>
        <v>0</v>
      </c>
    </row>
    <row r="53" spans="1:66" ht="11.25" customHeight="1" hidden="1">
      <c r="A53" s="304"/>
      <c r="B53" s="299"/>
      <c r="C53" s="300"/>
      <c r="D53" s="116" t="e">
        <f>+IF(AND(N1=1,W25&lt;3,N8=1,N10=3,I16&lt;=11),1,0)</f>
        <v>#N/A</v>
      </c>
      <c r="E53" s="117"/>
      <c r="F53" s="117"/>
      <c r="G53" s="118" t="e">
        <f>+IF(AND(N1=2,W25&lt;3,N8=1,N10=3,I16&lt;=5),1,0)</f>
        <v>#N/A</v>
      </c>
      <c r="H53" s="116">
        <f>+IF(AND(N8=1,N10=2,I16=0,V13=1),1,0)</f>
        <v>0</v>
      </c>
      <c r="I53" s="117"/>
      <c r="J53" s="117"/>
      <c r="K53" s="118"/>
      <c r="L53" s="116"/>
      <c r="M53" s="117"/>
      <c r="N53" s="117"/>
      <c r="O53" s="118"/>
      <c r="P53" s="116">
        <f>+IF(AND(D33="Tradicional",N10=5),1,0)</f>
        <v>0</v>
      </c>
      <c r="Q53" s="117"/>
      <c r="R53" s="117"/>
      <c r="S53" s="118"/>
      <c r="T53" s="366" t="s">
        <v>35</v>
      </c>
      <c r="U53" s="367"/>
      <c r="V53" s="367"/>
      <c r="W53" s="96" t="e">
        <f>+SUM(T55:T104)</f>
        <v>#N/A</v>
      </c>
      <c r="X53" s="96"/>
      <c r="Y53" s="96"/>
      <c r="Z53" s="96"/>
      <c r="AA53" s="95"/>
      <c r="AB53" s="149"/>
      <c r="AH53" s="96">
        <v>4</v>
      </c>
      <c r="AI53" s="96" t="s">
        <v>140</v>
      </c>
      <c r="AO53" s="96">
        <f>+AQ53+AP53</f>
        <v>0</v>
      </c>
      <c r="AP53" s="96">
        <f>+IF(AND(S24=3,(OR(M6=2,M6=3))),1,0)</f>
        <v>0</v>
      </c>
      <c r="AQ53" s="96">
        <f>+IF(OR(D19="Puede ofrecer: Estrategia 3",AND(S24=3,M6=1)),2,0)</f>
        <v>0</v>
      </c>
      <c r="AV53" s="96">
        <f>+AW53+AX53</f>
        <v>0</v>
      </c>
      <c r="AW53" s="96">
        <f>+IF(AND(S24=3,(OR(M6=2,M6=3))),1,0)</f>
        <v>0</v>
      </c>
      <c r="AX53" s="97">
        <f>+IF(OR(D19="Puede ofrecer: Estrategia 3",AND(S24=3,M6=1)),2,0)</f>
        <v>0</v>
      </c>
      <c r="BC53" s="96">
        <f>+BD53+BE53</f>
        <v>0</v>
      </c>
      <c r="BD53" s="96">
        <f>+IF(AND(S24=3,(OR(M6=2,M6=3,M6=4))),1,0)</f>
        <v>0</v>
      </c>
      <c r="BE53" s="96">
        <f>+IF(OR(D19="Puede ofrecer: Estrategia 3",AND(S24=3,M6=1)),2,0)</f>
        <v>0</v>
      </c>
      <c r="BL53" s="96">
        <v>12</v>
      </c>
      <c r="BM53" s="96" t="s">
        <v>75</v>
      </c>
      <c r="BN53" s="96">
        <f>+CF40</f>
        <v>0</v>
      </c>
    </row>
    <row r="54" spans="1:64" ht="11.25" customHeight="1" hidden="1">
      <c r="A54" s="304"/>
      <c r="B54" s="299"/>
      <c r="C54" s="441"/>
      <c r="D54" s="221" t="e">
        <f>+IF(AND(N1=1,W25=1,N8=1,N10=1,I16&lt;2),1,0)</f>
        <v>#N/A</v>
      </c>
      <c r="E54" s="117"/>
      <c r="F54" s="117"/>
      <c r="G54" s="221" t="e">
        <f>+IF(AND(N1=2,W25=1,N8=1,N10=1,I16&lt;1),1,0)</f>
        <v>#N/A</v>
      </c>
      <c r="H54" s="117">
        <f>+IF(AND(N8=1,N10=3,I16&gt;=1),1,0)</f>
        <v>0</v>
      </c>
      <c r="I54" s="117"/>
      <c r="J54" s="117"/>
      <c r="K54" s="118"/>
      <c r="L54" s="116"/>
      <c r="M54" s="117"/>
      <c r="N54" s="117"/>
      <c r="O54" s="118"/>
      <c r="P54" s="116"/>
      <c r="Q54" s="117"/>
      <c r="R54" s="117"/>
      <c r="S54" s="118"/>
      <c r="T54" s="96"/>
      <c r="U54" s="96">
        <v>0</v>
      </c>
      <c r="V54" s="134" t="s">
        <v>37</v>
      </c>
      <c r="W54" s="96"/>
      <c r="X54" s="96"/>
      <c r="Y54" s="96" t="e">
        <f>+IF(AND(S24=3,N8=3,W20&gt;=3,W25=3),"Para este caso se cancela 3 CFM por anticipado","")</f>
        <v>#N/A</v>
      </c>
      <c r="Z54" s="96" t="e">
        <f>+IF(Y54="Para este caso se cancela 3 CFM por anticipado",1,0)</f>
        <v>#N/A</v>
      </c>
      <c r="AA54" s="95"/>
      <c r="AB54" s="149"/>
      <c r="AH54" s="96">
        <v>5</v>
      </c>
      <c r="AI54" s="96" t="s">
        <v>142</v>
      </c>
      <c r="AO54" s="96" t="e">
        <f>LOOKUP(AO53,AP55:AQ56)</f>
        <v>#N/A</v>
      </c>
      <c r="AV54" s="96" t="e">
        <f>LOOKUP(AV53,AW55:AX56)</f>
        <v>#N/A</v>
      </c>
      <c r="AW54" s="96"/>
      <c r="BC54" s="96" t="e">
        <f>LOOKUP(BC53,BD55:BE56)</f>
        <v>#N/A</v>
      </c>
      <c r="BL54" s="96">
        <v>13</v>
      </c>
    </row>
    <row r="55" spans="1:57" ht="11.25" customHeight="1" hidden="1">
      <c r="A55" s="304"/>
      <c r="B55" s="299"/>
      <c r="C55" s="300"/>
      <c r="D55" s="116" t="e">
        <f>+IF(AND(N1=1,W25=1,N8=1,N10=4,I16&lt;2),1,0)</f>
        <v>#N/A</v>
      </c>
      <c r="E55" s="117"/>
      <c r="F55" s="117"/>
      <c r="G55" s="118" t="e">
        <f>+IF(AND(N1=2,W25=1,N8=1,N10=4,I16&lt;1),1,0)</f>
        <v>#N/A</v>
      </c>
      <c r="H55" s="116">
        <f>+IF(AND(N8=1,N10=3,I16=0,V13=1),1,0)</f>
        <v>0</v>
      </c>
      <c r="I55" s="117"/>
      <c r="J55" s="117"/>
      <c r="K55" s="118"/>
      <c r="L55" s="116"/>
      <c r="M55" s="117"/>
      <c r="N55" s="117"/>
      <c r="O55" s="118"/>
      <c r="P55" s="116"/>
      <c r="Q55" s="117"/>
      <c r="R55" s="117"/>
      <c r="S55" s="118"/>
      <c r="T55" s="96" t="e">
        <f>+IF(AND(N8=6,V13&gt;1,W20=2,N13="Mixto",M6&lt;=3,W25=3,H28="si",I16=1),1,0)</f>
        <v>#N/A</v>
      </c>
      <c r="U55" s="96">
        <v>1</v>
      </c>
      <c r="V55" s="153" t="s">
        <v>250</v>
      </c>
      <c r="W55" s="96"/>
      <c r="X55" s="96"/>
      <c r="Y55" s="96">
        <v>0</v>
      </c>
      <c r="Z55" s="96"/>
      <c r="AA55" s="95"/>
      <c r="AB55" s="149"/>
      <c r="AH55" s="96">
        <v>6</v>
      </c>
      <c r="AI55" s="96" t="s">
        <v>229</v>
      </c>
      <c r="AP55" s="96">
        <v>1</v>
      </c>
      <c r="AQ55" s="96" t="s">
        <v>101</v>
      </c>
      <c r="AV55" s="96"/>
      <c r="AW55" s="96">
        <v>1</v>
      </c>
      <c r="AX55" s="96" t="s">
        <v>102</v>
      </c>
      <c r="BD55" s="96">
        <v>1</v>
      </c>
      <c r="BE55" s="96" t="s">
        <v>116</v>
      </c>
    </row>
    <row r="56" spans="1:57" ht="11.25" customHeight="1" hidden="1">
      <c r="A56" s="304"/>
      <c r="B56" s="299"/>
      <c r="C56" s="300"/>
      <c r="D56" s="116" t="e">
        <f>+IF(AND(N1=1,W25=1,N8=1,N10=5,I16&lt;2),1,0)</f>
        <v>#N/A</v>
      </c>
      <c r="E56" s="117"/>
      <c r="F56" s="117"/>
      <c r="G56" s="117" t="e">
        <f>+IF(AND(N1=2,W25=1,N8=1,N10=5,I16&lt;1),1,0)</f>
        <v>#N/A</v>
      </c>
      <c r="H56" s="221">
        <f>+IF(AND(N8=1,N10=4,I16&gt;=1),1,0)</f>
        <v>0</v>
      </c>
      <c r="I56" s="117"/>
      <c r="J56" s="117"/>
      <c r="K56" s="118"/>
      <c r="L56" s="116"/>
      <c r="M56" s="117"/>
      <c r="N56" s="117"/>
      <c r="O56" s="118"/>
      <c r="P56" s="116"/>
      <c r="Q56" s="117"/>
      <c r="R56" s="117"/>
      <c r="S56" s="118"/>
      <c r="T56" s="96">
        <f>+IF(AND(D33="Tradicional",N10=5,O25=2),2,0)</f>
        <v>0</v>
      </c>
      <c r="U56" s="96">
        <v>2</v>
      </c>
      <c r="V56" s="134" t="s">
        <v>225</v>
      </c>
      <c r="W56" s="96"/>
      <c r="X56" s="96"/>
      <c r="Y56" s="96">
        <v>1</v>
      </c>
      <c r="Z56" s="96"/>
      <c r="AA56" s="95"/>
      <c r="AB56" s="149"/>
      <c r="AI56" s="96" t="s">
        <v>141</v>
      </c>
      <c r="AP56" s="96">
        <v>2</v>
      </c>
      <c r="AQ56" s="96" t="s">
        <v>100</v>
      </c>
      <c r="AW56" s="96">
        <v>2</v>
      </c>
      <c r="AX56" s="96" t="s">
        <v>103</v>
      </c>
      <c r="BD56" s="96">
        <v>2</v>
      </c>
      <c r="BE56" s="96" t="s">
        <v>115</v>
      </c>
    </row>
    <row r="57" spans="1:28" ht="11.25" customHeight="1" hidden="1">
      <c r="A57" s="304"/>
      <c r="B57" s="299"/>
      <c r="C57" s="300"/>
      <c r="D57" s="116"/>
      <c r="E57" s="117"/>
      <c r="F57" s="117"/>
      <c r="G57" s="118"/>
      <c r="H57" s="116">
        <f>+IF(AND(N8=1,N10=4,I16=0,V13=1),1,0)</f>
        <v>0</v>
      </c>
      <c r="I57" s="117"/>
      <c r="J57" s="117"/>
      <c r="K57" s="118"/>
      <c r="L57" s="116"/>
      <c r="M57" s="117"/>
      <c r="N57" s="117"/>
      <c r="O57" s="118"/>
      <c r="P57" s="116"/>
      <c r="Q57" s="117"/>
      <c r="R57" s="117"/>
      <c r="S57" s="118"/>
      <c r="T57" s="96">
        <f>+IF(AND(N8=3,W20=3,N10=2,M6&lt;3),3,0)</f>
        <v>0</v>
      </c>
      <c r="U57" s="96">
        <v>3</v>
      </c>
      <c r="V57" s="134" t="s">
        <v>251</v>
      </c>
      <c r="W57" s="96"/>
      <c r="X57" s="96"/>
      <c r="Y57" s="96">
        <v>0</v>
      </c>
      <c r="Z57" s="96"/>
      <c r="AA57" s="95"/>
      <c r="AB57" s="149"/>
    </row>
    <row r="58" spans="1:28" ht="11.25" customHeight="1" hidden="1">
      <c r="A58" s="304"/>
      <c r="B58" s="299"/>
      <c r="C58" s="300"/>
      <c r="D58" s="116"/>
      <c r="E58" s="117"/>
      <c r="F58" s="117"/>
      <c r="G58" s="118"/>
      <c r="H58" s="154">
        <f>+IF(AND(S6=2,N8=1,N10=1,I16=0,V13=1),1,0)</f>
        <v>0</v>
      </c>
      <c r="I58" s="117"/>
      <c r="J58" s="117"/>
      <c r="K58" s="118"/>
      <c r="L58" s="116"/>
      <c r="M58" s="117"/>
      <c r="N58" s="117"/>
      <c r="O58" s="118"/>
      <c r="P58" s="116"/>
      <c r="Q58" s="117"/>
      <c r="R58" s="117"/>
      <c r="S58" s="118"/>
      <c r="T58" s="96">
        <f>+IF(AND(N8=3,W20=3,N10=3,M6&lt;3),4,0)</f>
        <v>0</v>
      </c>
      <c r="U58" s="96">
        <v>4</v>
      </c>
      <c r="V58" s="134" t="s">
        <v>251</v>
      </c>
      <c r="W58" s="96"/>
      <c r="X58" s="96"/>
      <c r="Y58" s="96">
        <v>0</v>
      </c>
      <c r="Z58" s="96"/>
      <c r="AA58" s="95"/>
      <c r="AB58" s="149"/>
    </row>
    <row r="59" spans="1:66" ht="11.25" customHeight="1" hidden="1">
      <c r="A59" s="304"/>
      <c r="B59" s="299"/>
      <c r="C59" s="300"/>
      <c r="D59" s="116"/>
      <c r="E59" s="117"/>
      <c r="F59" s="117"/>
      <c r="G59" s="118"/>
      <c r="H59" s="154">
        <f>+IF(AND(S6=2,N8=1,N10=1,I16&gt;=1,V13=1),1,0)</f>
        <v>0</v>
      </c>
      <c r="I59" s="117"/>
      <c r="J59" s="117"/>
      <c r="K59" s="118"/>
      <c r="L59" s="116"/>
      <c r="M59" s="117"/>
      <c r="N59" s="117"/>
      <c r="O59" s="118"/>
      <c r="P59" s="116"/>
      <c r="Q59" s="117"/>
      <c r="R59" s="117"/>
      <c r="S59" s="118"/>
      <c r="T59" s="96">
        <f>+IF(AND(N8=3,W20&gt;=3,N10=4,O25=2),5,0)</f>
        <v>0</v>
      </c>
      <c r="U59" s="96">
        <v>5</v>
      </c>
      <c r="V59" s="134" t="s">
        <v>225</v>
      </c>
      <c r="W59" s="96"/>
      <c r="X59" s="96"/>
      <c r="Y59" s="96">
        <v>1</v>
      </c>
      <c r="Z59" s="96"/>
      <c r="AA59" s="95"/>
      <c r="AB59" s="149"/>
      <c r="AO59" s="96">
        <f>+AP59+AQ59+AR59+AS59+AT59</f>
        <v>0</v>
      </c>
      <c r="AP59" s="96">
        <f>+IF(AND(M6=1,L17=4),1,0)</f>
        <v>0</v>
      </c>
      <c r="AQ59" s="96">
        <f>+IF(AND(M6=2,L17=4),2,0)</f>
        <v>0</v>
      </c>
      <c r="AR59" s="96">
        <f>+IF(AND(M6=3,L17=4),3,0)</f>
        <v>0</v>
      </c>
      <c r="AS59" s="96">
        <f>+IF(AND(M6=4,L17=4),1,0)</f>
        <v>0</v>
      </c>
      <c r="AV59" s="145" t="s">
        <v>14</v>
      </c>
      <c r="AW59" s="97">
        <v>5</v>
      </c>
      <c r="BM59" s="96" t="s">
        <v>67</v>
      </c>
      <c r="BN59" s="96">
        <v>5</v>
      </c>
    </row>
    <row r="60" spans="1:66" ht="11.25" customHeight="1" hidden="1">
      <c r="A60" s="305"/>
      <c r="B60" s="301"/>
      <c r="C60" s="302"/>
      <c r="D60" s="129"/>
      <c r="E60" s="130"/>
      <c r="F60" s="130"/>
      <c r="G60" s="131"/>
      <c r="H60" s="129">
        <f>+IF(AND(N8=1,N10=5,I16&gt;=1),1,0)</f>
        <v>0</v>
      </c>
      <c r="I60" s="130"/>
      <c r="J60" s="130"/>
      <c r="K60" s="131"/>
      <c r="L60" s="129"/>
      <c r="M60" s="130"/>
      <c r="N60" s="130"/>
      <c r="O60" s="131"/>
      <c r="P60" s="129"/>
      <c r="Q60" s="130"/>
      <c r="R60" s="130"/>
      <c r="S60" s="130"/>
      <c r="T60" s="96">
        <f>+IF(AND(N8=3,D33="Tradicional",N10=4,H28="si"),6,0)</f>
        <v>0</v>
      </c>
      <c r="U60" s="96">
        <v>6</v>
      </c>
      <c r="V60" s="134" t="s">
        <v>225</v>
      </c>
      <c r="W60" s="117"/>
      <c r="X60" s="117"/>
      <c r="Y60" s="117">
        <v>1</v>
      </c>
      <c r="Z60" s="117"/>
      <c r="AA60" s="146"/>
      <c r="AB60" s="155"/>
      <c r="AC60" s="146"/>
      <c r="AD60" s="146"/>
      <c r="AE60" s="146"/>
      <c r="AF60" s="117"/>
      <c r="AG60" s="117"/>
      <c r="AH60" s="117"/>
      <c r="AO60" s="96">
        <f>IF(AO59&gt;=1,LOOKUP(AO59,AP61:AQ65),0)</f>
        <v>0</v>
      </c>
      <c r="AV60" s="145" t="s">
        <v>89</v>
      </c>
      <c r="AW60" s="97">
        <f>+IF(AND(V10=2,V7=2),1,3)</f>
        <v>3</v>
      </c>
      <c r="BM60" s="96" t="s">
        <v>72</v>
      </c>
      <c r="BN60" s="96">
        <v>9</v>
      </c>
    </row>
    <row r="61" spans="1:66" ht="11.25" customHeight="1" hidden="1">
      <c r="A61" s="96"/>
      <c r="B61" s="96"/>
      <c r="C61" s="96"/>
      <c r="D61" s="134" t="s">
        <v>22</v>
      </c>
      <c r="E61" s="96"/>
      <c r="F61" s="96" t="e">
        <f>+D62+D63+D64+D65+D66+G62+G63+G64+G65+G66</f>
        <v>#N/A</v>
      </c>
      <c r="G61" s="96"/>
      <c r="H61" s="97" t="s">
        <v>24</v>
      </c>
      <c r="I61" s="96"/>
      <c r="J61" s="96">
        <f>+H62+H63+H64+H65+H66+H67+H68+H69+H70+I62</f>
        <v>0</v>
      </c>
      <c r="K61" s="96"/>
      <c r="L61" s="134" t="s">
        <v>33</v>
      </c>
      <c r="M61" s="96"/>
      <c r="N61" s="96">
        <f>+L62+L63+L64+L65+L66+L67+L68+L69</f>
        <v>0</v>
      </c>
      <c r="O61" s="96"/>
      <c r="P61" s="96"/>
      <c r="Q61" s="96"/>
      <c r="R61" s="96"/>
      <c r="S61" s="96"/>
      <c r="T61" s="117">
        <f>+IF(AND(N8=3,D33="Tradicional",N10=4,O25=2),7,0)</f>
        <v>0</v>
      </c>
      <c r="U61" s="122">
        <v>7</v>
      </c>
      <c r="V61" s="134" t="s">
        <v>225</v>
      </c>
      <c r="W61" s="117"/>
      <c r="X61" s="117"/>
      <c r="Y61" s="117">
        <v>1</v>
      </c>
      <c r="Z61" s="117"/>
      <c r="AA61" s="146"/>
      <c r="AB61" s="155"/>
      <c r="AC61" s="146"/>
      <c r="AD61" s="146"/>
      <c r="AE61" s="146"/>
      <c r="AF61" s="117"/>
      <c r="AG61" s="117"/>
      <c r="AH61" s="117"/>
      <c r="AO61" s="96" t="s">
        <v>37</v>
      </c>
      <c r="AP61" s="96">
        <v>1</v>
      </c>
      <c r="AQ61" s="96" t="s">
        <v>253</v>
      </c>
      <c r="AV61" s="145" t="s">
        <v>23</v>
      </c>
      <c r="AW61" s="97">
        <f>+IF(AND(V10=2,V7=2),1,2)</f>
        <v>2</v>
      </c>
      <c r="BM61" s="96" t="s">
        <v>64</v>
      </c>
      <c r="BN61" s="96">
        <v>2</v>
      </c>
    </row>
    <row r="62" spans="1:66" ht="11.25" customHeight="1" hidden="1">
      <c r="A62" s="303" t="s">
        <v>85</v>
      </c>
      <c r="B62" s="297" t="s">
        <v>7</v>
      </c>
      <c r="C62" s="298"/>
      <c r="D62" s="150" t="e">
        <f>+IF(AND(N1=1,W25&lt;3,N8=2,N10=2,I16&lt;5),1,0)</f>
        <v>#N/A</v>
      </c>
      <c r="E62" s="151"/>
      <c r="F62" s="151"/>
      <c r="G62" s="152" t="e">
        <f>+IF(AND(N1=2,W25&lt;3,N8=2,N10=2,I16&lt;3),1,0)</f>
        <v>#N/A</v>
      </c>
      <c r="H62" s="150">
        <f>+IF(AND(N8=2,N10=2,I16&gt;=1),1,0)</f>
        <v>0</v>
      </c>
      <c r="I62" s="151">
        <f>+IF(AND(N8=2,N10=5,I16=0,V13=1),1,0)</f>
        <v>0</v>
      </c>
      <c r="J62" s="151"/>
      <c r="K62" s="152"/>
      <c r="L62" s="150">
        <f>+IF(AND(N8=2,V13=1),1,0)</f>
        <v>0</v>
      </c>
      <c r="M62" s="151"/>
      <c r="N62" s="151"/>
      <c r="O62" s="152"/>
      <c r="P62" s="96"/>
      <c r="Q62" s="96"/>
      <c r="R62" s="96"/>
      <c r="S62" s="96"/>
      <c r="T62" s="117">
        <f>+IF(AND(N8=5,V13=1,W20=1,N13="Mixto",M6&lt;&gt;4),8,0)</f>
        <v>0</v>
      </c>
      <c r="U62" s="122">
        <v>8</v>
      </c>
      <c r="V62" s="153" t="s">
        <v>135</v>
      </c>
      <c r="W62" s="117"/>
      <c r="X62" s="117"/>
      <c r="Y62" s="117">
        <v>0</v>
      </c>
      <c r="Z62" s="117"/>
      <c r="AA62" s="146"/>
      <c r="AB62" s="155"/>
      <c r="AC62" s="146"/>
      <c r="AD62" s="146"/>
      <c r="AE62" s="146"/>
      <c r="AF62" s="117"/>
      <c r="AG62" s="117"/>
      <c r="AH62" s="117"/>
      <c r="AP62" s="96">
        <v>2</v>
      </c>
      <c r="AQ62" s="96" t="s">
        <v>254</v>
      </c>
      <c r="AV62" s="145" t="s">
        <v>13</v>
      </c>
      <c r="AW62" s="97">
        <v>4</v>
      </c>
      <c r="BM62" s="96" t="s">
        <v>65</v>
      </c>
      <c r="BN62" s="96">
        <v>3</v>
      </c>
    </row>
    <row r="63" spans="1:66" ht="11.25" customHeight="1" hidden="1">
      <c r="A63" s="304"/>
      <c r="B63" s="299"/>
      <c r="C63" s="300"/>
      <c r="D63" s="116" t="e">
        <f>+IF(AND(N1=1,W25&lt;3,N8=2,N10=3,I16&lt;5),1,0)</f>
        <v>#N/A</v>
      </c>
      <c r="E63" s="117"/>
      <c r="F63" s="117"/>
      <c r="G63" s="118" t="e">
        <f>+IF(AND(N1=2,W25&lt;3,N8=2,N10=3,I16&lt;3),1,0)</f>
        <v>#N/A</v>
      </c>
      <c r="H63" s="116">
        <f>+IF(AND(N8=2,N10=2,I16=0,V13=1),1,0)</f>
        <v>0</v>
      </c>
      <c r="I63" s="117"/>
      <c r="J63" s="117"/>
      <c r="K63" s="118"/>
      <c r="L63" s="116"/>
      <c r="M63" s="117"/>
      <c r="N63" s="117"/>
      <c r="O63" s="118"/>
      <c r="P63" s="96"/>
      <c r="Q63" s="96"/>
      <c r="R63" s="96">
        <f>+IF(AND(N8=5,V13=1,W20=1,N13="Mixto"),8,0)</f>
        <v>0</v>
      </c>
      <c r="S63" s="96"/>
      <c r="T63" s="117">
        <f>+IF(AND(N8=5,V13=1,N10=2,W20&lt;=3,O25=2),9,0)</f>
        <v>0</v>
      </c>
      <c r="U63" s="122">
        <v>9</v>
      </c>
      <c r="V63" s="153" t="s">
        <v>135</v>
      </c>
      <c r="W63" s="117"/>
      <c r="X63" s="117"/>
      <c r="Y63" s="117">
        <v>0</v>
      </c>
      <c r="Z63" s="117"/>
      <c r="AA63" s="146"/>
      <c r="AB63" s="155"/>
      <c r="AC63" s="146"/>
      <c r="AD63" s="146"/>
      <c r="AE63" s="146"/>
      <c r="AF63" s="117"/>
      <c r="AG63" s="117"/>
      <c r="AH63" s="117"/>
      <c r="AP63" s="96">
        <v>3</v>
      </c>
      <c r="AQ63" s="96" t="s">
        <v>255</v>
      </c>
      <c r="AV63" s="145" t="s">
        <v>12</v>
      </c>
      <c r="AW63" s="97">
        <v>1</v>
      </c>
      <c r="BM63" s="96" t="s">
        <v>70</v>
      </c>
      <c r="BN63" s="96">
        <v>8</v>
      </c>
    </row>
    <row r="64" spans="1:66" ht="11.25" customHeight="1" hidden="1">
      <c r="A64" s="304"/>
      <c r="B64" s="299"/>
      <c r="C64" s="441"/>
      <c r="D64" s="221" t="e">
        <f>+IF(AND(N1=1,W25=1,N8=2,N10=1,I16&lt;1),1,0)</f>
        <v>#N/A</v>
      </c>
      <c r="E64" s="117"/>
      <c r="F64" s="117"/>
      <c r="G64" s="221" t="e">
        <f>+IF(AND(N1=2,W25=1,N8=2,N10=1,I16&lt;1),1,0)</f>
        <v>#N/A</v>
      </c>
      <c r="H64" s="117">
        <f>+IF(AND(N8=2,N10=3,I16&gt;=1),1,0)</f>
        <v>0</v>
      </c>
      <c r="I64" s="117"/>
      <c r="J64" s="117"/>
      <c r="K64" s="118"/>
      <c r="L64" s="116"/>
      <c r="M64" s="117"/>
      <c r="N64" s="117"/>
      <c r="O64" s="118"/>
      <c r="P64" s="96"/>
      <c r="Q64" s="96"/>
      <c r="R64" s="96">
        <f>+IF(AND(N8=5,V13=1,W20&lt;=3,N10=4,N13="Mixto"),10,0)</f>
        <v>0</v>
      </c>
      <c r="S64" s="96"/>
      <c r="T64" s="117">
        <f>+IF(AND(N8=5,V13=1,N10=3,W20&lt;=3,O25=2),10,0)</f>
        <v>0</v>
      </c>
      <c r="U64" s="122">
        <v>10</v>
      </c>
      <c r="V64" s="153" t="s">
        <v>135</v>
      </c>
      <c r="W64" s="117"/>
      <c r="X64" s="117"/>
      <c r="Y64" s="117">
        <v>0</v>
      </c>
      <c r="Z64" s="117"/>
      <c r="AA64" s="146"/>
      <c r="AB64" s="155"/>
      <c r="AC64" s="146"/>
      <c r="AD64" s="146"/>
      <c r="AE64" s="146"/>
      <c r="AF64" s="117"/>
      <c r="AG64" s="117"/>
      <c r="AH64" s="117"/>
      <c r="BM64" s="96" t="s">
        <v>69</v>
      </c>
      <c r="BN64" s="96">
        <v>7</v>
      </c>
    </row>
    <row r="65" spans="1:66" ht="11.25" customHeight="1" hidden="1">
      <c r="A65" s="304"/>
      <c r="B65" s="299"/>
      <c r="C65" s="300"/>
      <c r="D65" s="116" t="e">
        <f>+IF(AND(N1=1,W25=1,N8=2,N10=4,I16&lt;1),1,0)</f>
        <v>#N/A</v>
      </c>
      <c r="E65" s="117"/>
      <c r="F65" s="117"/>
      <c r="G65" s="118" t="e">
        <f>+IF(AND(N1=2,W25=1,N8=2,N10=4,I16&lt;1),1,0)</f>
        <v>#N/A</v>
      </c>
      <c r="H65" s="116">
        <f>+IF(AND(N8=2,N10=3,I16=0,V13=1),1,0)</f>
        <v>0</v>
      </c>
      <c r="I65" s="117"/>
      <c r="J65" s="117"/>
      <c r="K65" s="118"/>
      <c r="L65" s="116"/>
      <c r="M65" s="117"/>
      <c r="N65" s="117"/>
      <c r="O65" s="118"/>
      <c r="P65" s="96"/>
      <c r="Q65" s="96"/>
      <c r="R65" s="96"/>
      <c r="S65" s="96"/>
      <c r="T65" s="117">
        <f>+IF(AND(N8=5,V13=1,N10=1,W20&gt;3,O25=2),11,0)</f>
        <v>0</v>
      </c>
      <c r="U65" s="117">
        <v>11</v>
      </c>
      <c r="V65" s="153" t="s">
        <v>136</v>
      </c>
      <c r="W65" s="117"/>
      <c r="X65" s="117"/>
      <c r="Y65" s="117">
        <v>1</v>
      </c>
      <c r="Z65" s="117"/>
      <c r="AA65" s="146"/>
      <c r="AB65" s="155"/>
      <c r="AC65" s="146"/>
      <c r="AD65" s="146"/>
      <c r="AE65" s="146"/>
      <c r="AF65" s="117"/>
      <c r="AG65" s="117"/>
      <c r="AH65" s="117"/>
      <c r="BM65" s="96" t="s">
        <v>66</v>
      </c>
      <c r="BN65" s="96">
        <v>4</v>
      </c>
    </row>
    <row r="66" spans="1:66" ht="11.25" customHeight="1" hidden="1">
      <c r="A66" s="304"/>
      <c r="B66" s="299"/>
      <c r="C66" s="300"/>
      <c r="D66" s="116" t="e">
        <f>+IF(AND(N1=1,W25=1,N8=2,N10=5,I16&lt;1),1,0)</f>
        <v>#N/A</v>
      </c>
      <c r="E66" s="117"/>
      <c r="F66" s="117"/>
      <c r="G66" s="118" t="e">
        <f>+IF(AND(N1=2,W25=1,N8=2,N10=5,I16&lt;1),1,0)</f>
        <v>#N/A</v>
      </c>
      <c r="H66" s="116">
        <f>+IF(AND(N8=2,N10=4,I16&gt;=1),1,0)</f>
        <v>0</v>
      </c>
      <c r="I66" s="117"/>
      <c r="J66" s="117"/>
      <c r="K66" s="118"/>
      <c r="L66" s="116"/>
      <c r="M66" s="117"/>
      <c r="N66" s="117"/>
      <c r="O66" s="118"/>
      <c r="P66" s="96"/>
      <c r="Q66" s="96"/>
      <c r="R66" s="96"/>
      <c r="S66" s="96"/>
      <c r="T66" s="117">
        <f>+IF(AND(N8=5,V13=1,N10=2,W20&gt;3,O25=2),12,0)</f>
        <v>0</v>
      </c>
      <c r="U66" s="117">
        <v>12</v>
      </c>
      <c r="V66" s="153" t="s">
        <v>136</v>
      </c>
      <c r="W66" s="117"/>
      <c r="X66" s="117"/>
      <c r="Y66" s="117">
        <v>1</v>
      </c>
      <c r="Z66" s="117"/>
      <c r="AA66" s="146"/>
      <c r="AB66" s="155"/>
      <c r="AC66" s="146"/>
      <c r="AD66" s="146"/>
      <c r="AE66" s="146"/>
      <c r="AF66" s="117"/>
      <c r="AG66" s="117"/>
      <c r="AH66" s="117"/>
      <c r="BM66" s="96" t="s">
        <v>75</v>
      </c>
      <c r="BN66" s="96">
        <v>12</v>
      </c>
    </row>
    <row r="67" spans="1:66" ht="11.25" customHeight="1" hidden="1">
      <c r="A67" s="304"/>
      <c r="B67" s="299"/>
      <c r="C67" s="300"/>
      <c r="D67" s="116"/>
      <c r="E67" s="117"/>
      <c r="F67" s="117"/>
      <c r="G67" s="118"/>
      <c r="H67" s="116">
        <f>+IF(AND(N8=2,N10=4,I16=0,V13=1),1,0)</f>
        <v>0</v>
      </c>
      <c r="I67" s="117"/>
      <c r="J67" s="117"/>
      <c r="K67" s="118"/>
      <c r="L67" s="116"/>
      <c r="M67" s="117"/>
      <c r="N67" s="117"/>
      <c r="O67" s="118"/>
      <c r="P67" s="96"/>
      <c r="Q67" s="96"/>
      <c r="R67" s="96"/>
      <c r="S67" s="96"/>
      <c r="T67" s="96">
        <f>+IF(AND(N8=5,V13=1,N10=3,W20&gt;3,O25=2),13,0)</f>
        <v>0</v>
      </c>
      <c r="U67" s="117">
        <v>13</v>
      </c>
      <c r="V67" s="153" t="s">
        <v>136</v>
      </c>
      <c r="W67" s="96"/>
      <c r="X67" s="96"/>
      <c r="Y67" s="96">
        <v>1</v>
      </c>
      <c r="Z67" s="96"/>
      <c r="AA67" s="95"/>
      <c r="AB67" s="149"/>
      <c r="AX67" s="96">
        <f>+AY67+AZ67+BA67</f>
        <v>0</v>
      </c>
      <c r="AY67" s="96">
        <f>+IF(AND(L17=4,Y20=2,Z20=2,Z6=2,M6&lt;&gt;4),1,0)</f>
        <v>0</v>
      </c>
      <c r="AZ67" s="147">
        <f>+IF(AND(L17=4,Y21=2,Z20=2,Z6=1,B20&gt;=W20,M6&lt;&gt;4),2,0)</f>
        <v>0</v>
      </c>
      <c r="BA67" s="96">
        <f>+IF(AND(J1&lt;&gt;"",I6&lt;&gt;"",V6&lt;&gt;"",I8&lt;&gt;"",N10&lt;&gt;1,N10&lt;&gt;"",I13&lt;&gt;"",I16=0,I16&lt;&gt;"",L17&lt;&gt;4),3,0)</f>
        <v>0</v>
      </c>
      <c r="BM67" s="96" t="s">
        <v>68</v>
      </c>
      <c r="BN67" s="96">
        <v>6</v>
      </c>
    </row>
    <row r="68" spans="1:66" ht="11.25" customHeight="1" hidden="1">
      <c r="A68" s="304"/>
      <c r="B68" s="299"/>
      <c r="C68" s="300"/>
      <c r="D68" s="116"/>
      <c r="E68" s="117"/>
      <c r="F68" s="117"/>
      <c r="G68" s="118"/>
      <c r="H68" s="154">
        <f>+IF(AND(S6=2,N8=2,N10=1,I16=0,V13=1),1,0)</f>
        <v>0</v>
      </c>
      <c r="I68" s="117"/>
      <c r="J68" s="117"/>
      <c r="K68" s="118"/>
      <c r="L68" s="116"/>
      <c r="M68" s="117"/>
      <c r="N68" s="117"/>
      <c r="O68" s="118"/>
      <c r="P68" s="96"/>
      <c r="Q68" s="96"/>
      <c r="R68" s="96"/>
      <c r="S68" s="96"/>
      <c r="T68" s="96">
        <f>+IF(AND(N8=4,N10=1,V13=1,I16&lt;1,O25=2),14,0)</f>
        <v>0</v>
      </c>
      <c r="U68" s="117">
        <v>14</v>
      </c>
      <c r="V68" s="134" t="s">
        <v>137</v>
      </c>
      <c r="W68" s="96"/>
      <c r="X68" s="96"/>
      <c r="Y68" s="96">
        <v>0</v>
      </c>
      <c r="Z68" s="96"/>
      <c r="AA68" s="95"/>
      <c r="AB68" s="149"/>
      <c r="AX68" s="96" t="e">
        <f>LOOKUP(AX67,AY69:AZ71)</f>
        <v>#N/A</v>
      </c>
      <c r="AY68" s="96"/>
      <c r="BM68" s="96" t="s">
        <v>73</v>
      </c>
      <c r="BN68" s="96">
        <v>10</v>
      </c>
    </row>
    <row r="69" spans="1:66" ht="11.25" customHeight="1" hidden="1">
      <c r="A69" s="304"/>
      <c r="B69" s="299"/>
      <c r="C69" s="300"/>
      <c r="D69" s="116"/>
      <c r="E69" s="117"/>
      <c r="F69" s="117"/>
      <c r="G69" s="118"/>
      <c r="H69" s="154">
        <f>+IF(AND(S6=2,N8=2,N10=1,I16&gt;=1,V13=1),1,0)</f>
        <v>0</v>
      </c>
      <c r="I69" s="117"/>
      <c r="J69" s="117"/>
      <c r="K69" s="118"/>
      <c r="L69" s="116"/>
      <c r="M69" s="117"/>
      <c r="N69" s="117"/>
      <c r="O69" s="118"/>
      <c r="P69" s="96"/>
      <c r="Q69" s="96"/>
      <c r="R69" s="96"/>
      <c r="S69" s="96"/>
      <c r="T69" s="96">
        <f>+IF(AND(N8=4,N10=2,V13=1,I16&lt;1,O25=2),15,0)</f>
        <v>0</v>
      </c>
      <c r="U69" s="117">
        <v>15</v>
      </c>
      <c r="V69" s="134" t="s">
        <v>137</v>
      </c>
      <c r="W69" s="96"/>
      <c r="X69" s="96"/>
      <c r="Y69" s="96">
        <v>0</v>
      </c>
      <c r="Z69" s="96"/>
      <c r="AA69" s="95"/>
      <c r="AB69" s="149"/>
      <c r="AX69" s="96"/>
      <c r="AY69" s="96">
        <v>1</v>
      </c>
      <c r="AZ69" s="96" t="s">
        <v>227</v>
      </c>
      <c r="BM69" s="96" t="s">
        <v>74</v>
      </c>
      <c r="BN69" s="96">
        <v>11</v>
      </c>
    </row>
    <row r="70" spans="1:66" ht="11.25" customHeight="1" hidden="1">
      <c r="A70" s="305"/>
      <c r="B70" s="301"/>
      <c r="C70" s="302"/>
      <c r="D70" s="129"/>
      <c r="E70" s="130"/>
      <c r="F70" s="130"/>
      <c r="G70" s="131"/>
      <c r="H70" s="129">
        <f>+IF(AND(N8=2,N10=5,I16&gt;=1),1,0)</f>
        <v>0</v>
      </c>
      <c r="I70" s="130"/>
      <c r="J70" s="130"/>
      <c r="K70" s="131"/>
      <c r="L70" s="129"/>
      <c r="M70" s="130"/>
      <c r="N70" s="130"/>
      <c r="O70" s="131"/>
      <c r="P70" s="96"/>
      <c r="Q70" s="96"/>
      <c r="R70" s="96"/>
      <c r="S70" s="96"/>
      <c r="T70" s="96">
        <f>+IF(AND(N8=4,N10=3,V13=1,I16&lt;1,O25=2),16,0)</f>
        <v>0</v>
      </c>
      <c r="U70" s="117">
        <v>16</v>
      </c>
      <c r="V70" s="134" t="s">
        <v>137</v>
      </c>
      <c r="W70" s="96"/>
      <c r="X70" s="96"/>
      <c r="Y70" s="96">
        <v>0</v>
      </c>
      <c r="Z70" s="96"/>
      <c r="AA70" s="95"/>
      <c r="AB70" s="149"/>
      <c r="AX70" s="96"/>
      <c r="AY70" s="96">
        <v>2</v>
      </c>
      <c r="AZ70" s="96" t="s">
        <v>219</v>
      </c>
      <c r="BM70" s="96" t="s">
        <v>71</v>
      </c>
      <c r="BN70" s="96">
        <v>1</v>
      </c>
    </row>
    <row r="71" spans="1:66" ht="11.25" customHeight="1" hidden="1">
      <c r="A71" s="96"/>
      <c r="B71" s="96"/>
      <c r="C71" s="96"/>
      <c r="D71" s="134" t="s">
        <v>22</v>
      </c>
      <c r="E71" s="96"/>
      <c r="F71" s="96" t="e">
        <f>+D72+D73+D74+D75+D76+D77+D78+D79+G72+G73+G74+G75+G76+G77+G78+G79</f>
        <v>#N/A</v>
      </c>
      <c r="G71" s="96"/>
      <c r="H71" s="97" t="s">
        <v>24</v>
      </c>
      <c r="I71" s="96"/>
      <c r="J71" s="96">
        <f>+H72+H73+H74+H75+H76+H77+H78+H79+H80+I72</f>
        <v>0</v>
      </c>
      <c r="K71" s="96"/>
      <c r="L71" s="134" t="s">
        <v>33</v>
      </c>
      <c r="M71" s="96"/>
      <c r="N71" s="96">
        <f>+L72+L73</f>
        <v>0</v>
      </c>
      <c r="O71" s="96"/>
      <c r="P71" s="96"/>
      <c r="Q71" s="96"/>
      <c r="R71" s="96"/>
      <c r="S71" s="96"/>
      <c r="T71" s="96" t="e">
        <f>+IF(AND((SUM(T56:T70)+SUM(T72:T83))=0,N8=4,I16&gt;=1,O25=2),17,0)</f>
        <v>#N/A</v>
      </c>
      <c r="U71" s="117">
        <v>17</v>
      </c>
      <c r="V71" s="134" t="s">
        <v>136</v>
      </c>
      <c r="W71" s="96"/>
      <c r="X71" s="96"/>
      <c r="Y71" s="96">
        <v>1</v>
      </c>
      <c r="Z71" s="96"/>
      <c r="AA71" s="95"/>
      <c r="AB71" s="149"/>
      <c r="AX71" s="96"/>
      <c r="AY71" s="96">
        <v>3</v>
      </c>
      <c r="AZ71" s="96" t="s">
        <v>263</v>
      </c>
      <c r="BN71" s="96">
        <v>13</v>
      </c>
    </row>
    <row r="72" spans="1:51" ht="11.25" customHeight="1" hidden="1">
      <c r="A72" s="303" t="s">
        <v>85</v>
      </c>
      <c r="B72" s="297" t="s">
        <v>8</v>
      </c>
      <c r="C72" s="298"/>
      <c r="D72" s="150" t="e">
        <f>+IF(AND(N1=1,W25=1,N8=3,N10=2,I16&lt;=1,V13&lt;2,P13=1),1,0)</f>
        <v>#N/A</v>
      </c>
      <c r="E72" s="151"/>
      <c r="F72" s="151"/>
      <c r="G72" s="152" t="e">
        <f>+IF(AND(N1=2,W25=1,N8=3,N10=2,I16&lt;=1,V13&lt;2,P13=1),1,0)</f>
        <v>#N/A</v>
      </c>
      <c r="H72" s="150">
        <f>+IF(AND(N8=3,N10=2,I16&gt;=1),1,0)</f>
        <v>0</v>
      </c>
      <c r="I72" s="151">
        <f>+IF(AND(N8=3,N10=5,I16=0,V13=1),1,0)</f>
        <v>0</v>
      </c>
      <c r="J72" s="151"/>
      <c r="K72" s="152"/>
      <c r="L72" s="150">
        <f>+IF(AND(N8=3,V13=1,I16&gt;=1),1,0)</f>
        <v>0</v>
      </c>
      <c r="M72" s="151"/>
      <c r="N72" s="151"/>
      <c r="O72" s="152"/>
      <c r="P72" s="96"/>
      <c r="Q72" s="96"/>
      <c r="R72" s="96"/>
      <c r="S72" s="96"/>
      <c r="T72" s="96">
        <f>+IF(AND(N8=6,V13=1,I16&lt;=3,O25=2),18,0)</f>
        <v>0</v>
      </c>
      <c r="U72" s="117">
        <v>18</v>
      </c>
      <c r="V72" s="134" t="s">
        <v>98</v>
      </c>
      <c r="W72" s="96"/>
      <c r="X72" s="96"/>
      <c r="Y72" s="96">
        <v>0</v>
      </c>
      <c r="Z72" s="96"/>
      <c r="AA72" s="95"/>
      <c r="AB72" s="149"/>
      <c r="AX72" s="96"/>
      <c r="AY72" s="96"/>
    </row>
    <row r="73" spans="1:51" ht="11.25" customHeight="1" hidden="1">
      <c r="A73" s="304"/>
      <c r="B73" s="299"/>
      <c r="C73" s="300"/>
      <c r="D73" s="116" t="e">
        <f>+IF(AND(N1=1,W25=1,N8=3,N10=3,I16&lt;=1,V13&lt;2,P13=1),1,0)</f>
        <v>#N/A</v>
      </c>
      <c r="E73" s="117"/>
      <c r="F73" s="117"/>
      <c r="G73" s="118" t="e">
        <f>+IF(AND(N1=2,W25=1,N8=3,N10=3,I16&lt;=1,V13&lt;2,P13=1),1,0)</f>
        <v>#N/A</v>
      </c>
      <c r="H73" s="116">
        <f>+IF(AND(N8=3,N10=2,I16=0,V13=1),1,0)</f>
        <v>0</v>
      </c>
      <c r="I73" s="117"/>
      <c r="J73" s="117"/>
      <c r="K73" s="118"/>
      <c r="L73" s="116">
        <f>+IF(AND(L72=0,N8=3,V13=1,I16=0,N13="Abierto"),1,0)</f>
        <v>0</v>
      </c>
      <c r="M73" s="117"/>
      <c r="N73" s="117"/>
      <c r="O73" s="118"/>
      <c r="P73" s="96"/>
      <c r="Q73" s="96"/>
      <c r="R73" s="96"/>
      <c r="S73" s="96"/>
      <c r="T73" s="96">
        <f>+IF(AND(N8=6,V13=2,D33="Diferido",O25=2,M6=1),19,0)</f>
        <v>0</v>
      </c>
      <c r="U73" s="117">
        <v>19</v>
      </c>
      <c r="V73" s="134" t="s">
        <v>99</v>
      </c>
      <c r="W73" s="96"/>
      <c r="X73" s="96"/>
      <c r="Y73" s="96">
        <v>0</v>
      </c>
      <c r="Z73" s="96"/>
      <c r="AA73" s="95"/>
      <c r="AB73" s="149"/>
      <c r="AX73" s="96"/>
      <c r="AY73" s="96"/>
    </row>
    <row r="74" spans="1:52" ht="11.25" customHeight="1" hidden="1">
      <c r="A74" s="304"/>
      <c r="B74" s="299"/>
      <c r="C74" s="300"/>
      <c r="D74" s="116" t="e">
        <f>+IF(AND(N1=1,W25=1,N8=3,N10=1,I16&lt;2,V13=1,P13=1),1,0)</f>
        <v>#N/A</v>
      </c>
      <c r="E74" s="117"/>
      <c r="F74" s="117"/>
      <c r="G74" s="118" t="e">
        <f>+IF(AND(N1=2,W25=1,N8=3,N10=1,I16&lt;2,V13=1,P13=1),1,0)</f>
        <v>#N/A</v>
      </c>
      <c r="H74" s="116">
        <f>+IF(AND(N8=3,N10=3,I16&gt;=1),1,0)</f>
        <v>0</v>
      </c>
      <c r="I74" s="117"/>
      <c r="J74" s="117"/>
      <c r="K74" s="118"/>
      <c r="L74" s="116"/>
      <c r="M74" s="117"/>
      <c r="N74" s="117"/>
      <c r="O74" s="118"/>
      <c r="P74" s="96"/>
      <c r="Q74" s="96"/>
      <c r="R74" s="96"/>
      <c r="S74" s="96"/>
      <c r="T74" s="96">
        <f>+IF(AND(N8=6,V13=3,D33="Diferido",O25=2,M6=1),20,0)</f>
        <v>0</v>
      </c>
      <c r="U74" s="117">
        <v>20</v>
      </c>
      <c r="V74" s="134" t="s">
        <v>99</v>
      </c>
      <c r="W74" s="96"/>
      <c r="X74" s="96"/>
      <c r="Y74" s="96">
        <v>0</v>
      </c>
      <c r="Z74" s="96"/>
      <c r="AA74" s="95"/>
      <c r="AB74" s="149"/>
      <c r="AX74" s="96">
        <f>+AY74+AZ74</f>
        <v>0</v>
      </c>
      <c r="AY74" s="96">
        <f>+IF(AND(L17=4,Y20=2,Z20=2,Z6=2,M6&lt;&gt;4),1,0)</f>
        <v>0</v>
      </c>
      <c r="AZ74" s="147">
        <f>+IF(AND(L17=4,Y21=2,Z20=2,Z6=1,B20&gt;=W20,M6&lt;&gt;4),2,0)</f>
        <v>0</v>
      </c>
    </row>
    <row r="75" spans="1:51" ht="11.25" customHeight="1" hidden="1">
      <c r="A75" s="304"/>
      <c r="B75" s="299"/>
      <c r="C75" s="300"/>
      <c r="D75" s="116" t="e">
        <f>+IF(AND(N1=1,W25=1,N8=3,N10=4,I16&lt;1,V13&lt;2,P13=1),1,0)</f>
        <v>#N/A</v>
      </c>
      <c r="E75" s="117"/>
      <c r="F75" s="117"/>
      <c r="G75" s="118" t="e">
        <f>+IF(AND(N1=2,W25=1,N8=3,N10=4,I16&lt;1,V13&lt;2,P13=1),1,0)</f>
        <v>#N/A</v>
      </c>
      <c r="H75" s="116">
        <f>+IF(AND(N8=3,N10=3,I16=0,V13=1),1,0)</f>
        <v>0</v>
      </c>
      <c r="I75" s="117"/>
      <c r="J75" s="117"/>
      <c r="K75" s="118"/>
      <c r="L75" s="116"/>
      <c r="M75" s="117"/>
      <c r="N75" s="117"/>
      <c r="O75" s="118"/>
      <c r="P75" s="96"/>
      <c r="Q75" s="96"/>
      <c r="R75" s="96"/>
      <c r="S75" s="96"/>
      <c r="T75" s="96">
        <f>+IF(AND(N8=6,D33="Tradicional",O25=2),21,0)</f>
        <v>0</v>
      </c>
      <c r="U75" s="117">
        <v>21</v>
      </c>
      <c r="V75" s="134" t="s">
        <v>225</v>
      </c>
      <c r="W75" s="96"/>
      <c r="X75" s="96"/>
      <c r="Y75" s="96">
        <v>1</v>
      </c>
      <c r="Z75" s="96"/>
      <c r="AA75" s="95"/>
      <c r="AB75" s="149"/>
      <c r="AX75" s="96" t="e">
        <f>LOOKUP(AX74,AY76:AZ77)</f>
        <v>#N/A</v>
      </c>
      <c r="AY75" s="96"/>
    </row>
    <row r="76" spans="1:52" ht="11.25" customHeight="1" hidden="1">
      <c r="A76" s="304"/>
      <c r="B76" s="299"/>
      <c r="C76" s="300"/>
      <c r="D76" s="116" t="e">
        <f>+IF(AND(N1=1,W25=1,N8=3,N10=5,I16&lt;1,V13&lt;2,P13=1),1,0)</f>
        <v>#N/A</v>
      </c>
      <c r="E76" s="117"/>
      <c r="F76" s="117"/>
      <c r="G76" s="118" t="e">
        <f>+IF(AND(N1=2,W25=1,N8=3,N10=5,I16&lt;1,V13&lt;2,P13=1),1,0)</f>
        <v>#N/A</v>
      </c>
      <c r="H76" s="116">
        <f>+IF(AND(N8=3,N10=4,I16&gt;=1),1,0)</f>
        <v>0</v>
      </c>
      <c r="I76" s="117"/>
      <c r="J76" s="117"/>
      <c r="K76" s="118"/>
      <c r="L76" s="116"/>
      <c r="M76" s="117"/>
      <c r="N76" s="117"/>
      <c r="O76" s="118"/>
      <c r="P76" s="96"/>
      <c r="Q76" s="96"/>
      <c r="R76" s="96"/>
      <c r="S76" s="96"/>
      <c r="T76" s="96">
        <f>+IF(AND(N8=5,V13=2,O25=2),22,0)</f>
        <v>0</v>
      </c>
      <c r="U76" s="117">
        <v>22</v>
      </c>
      <c r="V76" s="134" t="s">
        <v>225</v>
      </c>
      <c r="W76" s="96"/>
      <c r="X76" s="96"/>
      <c r="Y76" s="96">
        <v>1</v>
      </c>
      <c r="Z76" s="96"/>
      <c r="AA76" s="95"/>
      <c r="AB76" s="149"/>
      <c r="AX76" s="96"/>
      <c r="AY76" s="96">
        <v>1</v>
      </c>
      <c r="AZ76" s="96" t="s">
        <v>108</v>
      </c>
    </row>
    <row r="77" spans="1:52" ht="11.25" customHeight="1" hidden="1">
      <c r="A77" s="304"/>
      <c r="B77" s="299"/>
      <c r="C77" s="300"/>
      <c r="D77" s="116" t="e">
        <f>+IF(AND(N1=1,W25=2,N8=3,I16&lt;=3,V13&lt;3,N10=2),1,0)</f>
        <v>#N/A</v>
      </c>
      <c r="E77" s="117"/>
      <c r="F77" s="117"/>
      <c r="G77" s="118" t="e">
        <f>+IF(AND(N1=2,W25=2,N8=3,I16&lt;=2,V13&lt;3,N10=2),1,0)</f>
        <v>#N/A</v>
      </c>
      <c r="H77" s="116">
        <f>+IF(AND(N8=3,N10=4,I16=0,V13=1),1,0)</f>
        <v>0</v>
      </c>
      <c r="I77" s="117"/>
      <c r="J77" s="117"/>
      <c r="K77" s="118"/>
      <c r="L77" s="116"/>
      <c r="M77" s="117"/>
      <c r="N77" s="117"/>
      <c r="O77" s="118"/>
      <c r="P77" s="96"/>
      <c r="Q77" s="96"/>
      <c r="R77" s="96"/>
      <c r="S77" s="96"/>
      <c r="T77" s="96">
        <f>+IF(AND(N8=5,V13=3,O25=2),23,0)</f>
        <v>0</v>
      </c>
      <c r="U77" s="117">
        <v>23</v>
      </c>
      <c r="V77" s="134" t="s">
        <v>225</v>
      </c>
      <c r="W77" s="96"/>
      <c r="X77" s="96"/>
      <c r="Y77" s="96">
        <v>1</v>
      </c>
      <c r="Z77" s="96"/>
      <c r="AA77" s="95"/>
      <c r="AB77" s="149"/>
      <c r="AX77" s="96"/>
      <c r="AY77" s="96">
        <v>2</v>
      </c>
      <c r="AZ77" s="96" t="s">
        <v>109</v>
      </c>
    </row>
    <row r="78" spans="1:28" ht="11.25" customHeight="1" hidden="1">
      <c r="A78" s="304"/>
      <c r="B78" s="299"/>
      <c r="C78" s="300"/>
      <c r="D78" s="116" t="e">
        <f>+IF(AND(N1=1,W25=2,N8=3,I16&lt;=3,V13&lt;3,N10=3),1,0)</f>
        <v>#N/A</v>
      </c>
      <c r="E78" s="117"/>
      <c r="F78" s="117"/>
      <c r="G78" s="118" t="e">
        <f>+IF(AND(N1=2,W25=2,N8=3,I16&lt;=2,V13&lt;3,N10=3),1,0)</f>
        <v>#N/A</v>
      </c>
      <c r="H78" s="154">
        <f>+IF(AND(S6=2,N8=3,N10=1,I16=0,V13=1),1,0)</f>
        <v>0</v>
      </c>
      <c r="I78" s="117"/>
      <c r="J78" s="117"/>
      <c r="K78" s="118"/>
      <c r="L78" s="116"/>
      <c r="M78" s="117"/>
      <c r="N78" s="117"/>
      <c r="O78" s="118"/>
      <c r="P78" s="96"/>
      <c r="Q78" s="96"/>
      <c r="R78" s="96"/>
      <c r="S78" s="96"/>
      <c r="T78" s="96" t="e">
        <f>+IF(AND(D33="Tradicional",N10=1,N8&lt;8,H28="si",T55=0),24,0)</f>
        <v>#N/A</v>
      </c>
      <c r="U78" s="117">
        <v>24</v>
      </c>
      <c r="V78" s="134" t="s">
        <v>225</v>
      </c>
      <c r="W78" s="96"/>
      <c r="X78" s="96"/>
      <c r="Y78" s="96">
        <v>1</v>
      </c>
      <c r="Z78" s="96"/>
      <c r="AA78" s="95"/>
      <c r="AB78" s="149"/>
    </row>
    <row r="79" spans="1:28" ht="11.25" customHeight="1" hidden="1">
      <c r="A79" s="304"/>
      <c r="B79" s="299"/>
      <c r="C79" s="300"/>
      <c r="D79" s="116" t="e">
        <f>+IF(AND(N1=1,W25=2,N8=3,I16&lt;=3,V13&lt;3,N10=4),1,0)</f>
        <v>#N/A</v>
      </c>
      <c r="E79" s="117"/>
      <c r="F79" s="117"/>
      <c r="G79" s="118" t="e">
        <f>+IF(AND(N1=2,W25=2,N8=3,I16&lt;=2,V13&lt;3,N10=4),1,0)</f>
        <v>#N/A</v>
      </c>
      <c r="H79" s="154">
        <f>+IF(AND(S6=2,N8=3,N10=1,I16&gt;=1,V13=1),1,0)</f>
        <v>0</v>
      </c>
      <c r="I79" s="117"/>
      <c r="J79" s="117"/>
      <c r="K79" s="118"/>
      <c r="L79" s="116"/>
      <c r="M79" s="117"/>
      <c r="N79" s="117"/>
      <c r="O79" s="118"/>
      <c r="P79" s="96"/>
      <c r="Q79" s="96"/>
      <c r="R79" s="96"/>
      <c r="S79" s="96"/>
      <c r="T79" s="96">
        <f>+IF(AND(D33="Tradicional",N10=2,O25=2),25,0)</f>
        <v>0</v>
      </c>
      <c r="U79" s="117">
        <v>25</v>
      </c>
      <c r="V79" s="134" t="s">
        <v>36</v>
      </c>
      <c r="W79" s="96"/>
      <c r="X79" s="96"/>
      <c r="Y79" s="96">
        <v>1</v>
      </c>
      <c r="Z79" s="96"/>
      <c r="AA79" s="95"/>
      <c r="AB79" s="149"/>
    </row>
    <row r="80" spans="1:28" ht="11.25" customHeight="1" hidden="1">
      <c r="A80" s="305"/>
      <c r="B80" s="301"/>
      <c r="C80" s="302"/>
      <c r="D80" s="129"/>
      <c r="E80" s="130"/>
      <c r="F80" s="130"/>
      <c r="G80" s="131"/>
      <c r="H80" s="129">
        <f>+IF(AND(N8=3,N10=5,I16&gt;=1),1,0)</f>
        <v>0</v>
      </c>
      <c r="I80" s="130"/>
      <c r="J80" s="130"/>
      <c r="K80" s="131"/>
      <c r="L80" s="129"/>
      <c r="M80" s="130"/>
      <c r="N80" s="130"/>
      <c r="O80" s="131"/>
      <c r="P80" s="96"/>
      <c r="Q80" s="96"/>
      <c r="R80" s="96"/>
      <c r="S80" s="96"/>
      <c r="T80" s="96">
        <f>+IF(AND(D33="Tradicional",N10=3,O25=2),26,0)</f>
        <v>0</v>
      </c>
      <c r="U80" s="117">
        <v>26</v>
      </c>
      <c r="V80" s="134" t="s">
        <v>36</v>
      </c>
      <c r="W80" s="96"/>
      <c r="X80" s="96"/>
      <c r="Y80" s="96">
        <v>1</v>
      </c>
      <c r="Z80" s="96"/>
      <c r="AA80" s="95"/>
      <c r="AB80" s="149"/>
    </row>
    <row r="81" spans="1:28" ht="11.25" customHeight="1" hidden="1">
      <c r="A81" s="96"/>
      <c r="B81" s="96"/>
      <c r="C81" s="96"/>
      <c r="D81" s="134" t="s">
        <v>22</v>
      </c>
      <c r="E81" s="96"/>
      <c r="F81" s="96">
        <f>+D82+D83+D84+D85+D86</f>
        <v>0</v>
      </c>
      <c r="G81" s="96"/>
      <c r="H81" s="97" t="s">
        <v>24</v>
      </c>
      <c r="I81" s="96"/>
      <c r="J81" s="96">
        <f>+H82+H83+H84+H85+H86+H87+H88+H89+H90+I82</f>
        <v>0</v>
      </c>
      <c r="K81" s="96"/>
      <c r="L81" s="134" t="s">
        <v>33</v>
      </c>
      <c r="M81" s="96"/>
      <c r="N81" s="96">
        <f>+L82+L83+L84+L85+L86+L87+L88+L89</f>
        <v>0</v>
      </c>
      <c r="O81" s="96"/>
      <c r="P81" s="96"/>
      <c r="Q81" s="96"/>
      <c r="R81" s="96"/>
      <c r="S81" s="96"/>
      <c r="T81" s="96">
        <f>+IF(AND(N8=5,D33="Tradicional",N10=4,O25=2),27,0)</f>
        <v>0</v>
      </c>
      <c r="U81" s="117">
        <v>27</v>
      </c>
      <c r="V81" s="134" t="s">
        <v>225</v>
      </c>
      <c r="W81" s="96"/>
      <c r="X81" s="96"/>
      <c r="Y81" s="96">
        <v>1</v>
      </c>
      <c r="Z81" s="96"/>
      <c r="AA81" s="95"/>
      <c r="AB81" s="149"/>
    </row>
    <row r="82" spans="1:28" ht="11.25" customHeight="1" hidden="1">
      <c r="A82" s="303" t="s">
        <v>85</v>
      </c>
      <c r="B82" s="297" t="s">
        <v>9</v>
      </c>
      <c r="C82" s="298"/>
      <c r="D82" s="150"/>
      <c r="E82" s="151"/>
      <c r="F82" s="151"/>
      <c r="G82" s="152"/>
      <c r="H82" s="150">
        <f>+IF(AND(N8=4,N10=2,I16&gt;=1),1,0)</f>
        <v>0</v>
      </c>
      <c r="I82" s="151">
        <f>+IF(AND(N8=4,N10=5,I16=0,V13=1),1,0)</f>
        <v>0</v>
      </c>
      <c r="J82" s="151"/>
      <c r="K82" s="152"/>
      <c r="L82" s="150">
        <f>+IF(AND(N8=4,V13=1),1,0)</f>
        <v>0</v>
      </c>
      <c r="M82" s="151"/>
      <c r="N82" s="151"/>
      <c r="O82" s="152"/>
      <c r="P82" s="96"/>
      <c r="Q82" s="96"/>
      <c r="R82" s="96"/>
      <c r="S82" s="96"/>
      <c r="T82" s="96" t="e">
        <f>+IF(AND(N8=4,V13=1,W20=1,N13="Mixto",M6&lt;=3,W25=1,H28="si"),28,0)</f>
        <v>#N/A</v>
      </c>
      <c r="U82" s="117">
        <v>28</v>
      </c>
      <c r="V82" s="153" t="s">
        <v>135</v>
      </c>
      <c r="W82" s="96"/>
      <c r="X82" s="96"/>
      <c r="Y82" s="96">
        <v>0</v>
      </c>
      <c r="Z82" s="96"/>
      <c r="AA82" s="95"/>
      <c r="AB82" s="149"/>
    </row>
    <row r="83" spans="1:28" ht="11.25" customHeight="1" hidden="1">
      <c r="A83" s="304"/>
      <c r="B83" s="299"/>
      <c r="C83" s="300"/>
      <c r="D83" s="116"/>
      <c r="E83" s="117"/>
      <c r="F83" s="117"/>
      <c r="G83" s="118"/>
      <c r="H83" s="116">
        <f>+IF(AND(N8=4,N10=2,I16=0,V13=1),1,0)</f>
        <v>0</v>
      </c>
      <c r="I83" s="117"/>
      <c r="J83" s="117"/>
      <c r="K83" s="118"/>
      <c r="L83" s="116"/>
      <c r="M83" s="117"/>
      <c r="N83" s="117"/>
      <c r="O83" s="118"/>
      <c r="P83" s="96"/>
      <c r="Q83" s="96"/>
      <c r="R83" s="96"/>
      <c r="S83" s="96"/>
      <c r="T83" s="96">
        <f>+IF(AND(N8=5,V13=1,N10=5,W20&lt;=3,O25=2),10,0)</f>
        <v>0</v>
      </c>
      <c r="U83" s="117">
        <v>29</v>
      </c>
      <c r="V83" s="153" t="s">
        <v>135</v>
      </c>
      <c r="W83" s="96"/>
      <c r="X83" s="96"/>
      <c r="Y83" s="96">
        <v>0</v>
      </c>
      <c r="Z83" s="96"/>
      <c r="AA83" s="95"/>
      <c r="AB83" s="149"/>
    </row>
    <row r="84" spans="1:28" ht="11.25" customHeight="1" hidden="1">
      <c r="A84" s="304"/>
      <c r="B84" s="299"/>
      <c r="C84" s="300"/>
      <c r="D84" s="116"/>
      <c r="E84" s="117"/>
      <c r="F84" s="117"/>
      <c r="G84" s="118"/>
      <c r="H84" s="116">
        <f>+IF(AND(N8=4,N10=3,I16&gt;=1),1,0)</f>
        <v>0</v>
      </c>
      <c r="I84" s="117"/>
      <c r="J84" s="117"/>
      <c r="K84" s="118"/>
      <c r="L84" s="116"/>
      <c r="M84" s="117"/>
      <c r="N84" s="117"/>
      <c r="O84" s="118"/>
      <c r="P84" s="96"/>
      <c r="Q84" s="96"/>
      <c r="R84" s="96"/>
      <c r="S84" s="96"/>
      <c r="T84" s="96">
        <f>+IF(AND(N8=5,V13=1,W20&gt;1,W20&lt;=3,N13="Abierto",N10&gt;1,H28="si"),30,0)</f>
        <v>0</v>
      </c>
      <c r="U84" s="117">
        <v>30</v>
      </c>
      <c r="V84" s="134" t="s">
        <v>225</v>
      </c>
      <c r="W84" s="96"/>
      <c r="X84" s="96"/>
      <c r="Y84" s="96">
        <v>1</v>
      </c>
      <c r="Z84" s="96"/>
      <c r="AA84" s="95"/>
      <c r="AB84" s="149"/>
    </row>
    <row r="85" spans="1:28" ht="11.25" customHeight="1" hidden="1">
      <c r="A85" s="304"/>
      <c r="B85" s="299"/>
      <c r="C85" s="300"/>
      <c r="D85" s="116"/>
      <c r="E85" s="117"/>
      <c r="F85" s="117"/>
      <c r="G85" s="118"/>
      <c r="H85" s="116">
        <f>+IF(AND(N8=4,N10=3,I16=0,V13=1),1,0)</f>
        <v>0</v>
      </c>
      <c r="I85" s="117"/>
      <c r="J85" s="117"/>
      <c r="K85" s="118"/>
      <c r="L85" s="116"/>
      <c r="M85" s="117"/>
      <c r="N85" s="117"/>
      <c r="O85" s="118"/>
      <c r="P85" s="96"/>
      <c r="Q85" s="96"/>
      <c r="R85" s="96"/>
      <c r="S85" s="96"/>
      <c r="T85" s="96">
        <f>+IF(AND(N8=5,W20&gt;3,V13=1,N10&lt;&gt;1),31,0)</f>
        <v>0</v>
      </c>
      <c r="U85" s="117">
        <v>31</v>
      </c>
      <c r="V85" s="134" t="s">
        <v>225</v>
      </c>
      <c r="W85" s="96"/>
      <c r="X85" s="96"/>
      <c r="Y85" s="96">
        <v>1</v>
      </c>
      <c r="Z85" s="96">
        <f>+IF(AND(N8=5,W20&gt;3,V13=1,N10&lt;&gt;1,M6&lt;&gt;3),31,0)</f>
        <v>0</v>
      </c>
      <c r="AA85" s="95"/>
      <c r="AB85" s="149"/>
    </row>
    <row r="86" spans="1:28" ht="11.25" customHeight="1" hidden="1">
      <c r="A86" s="304"/>
      <c r="B86" s="299"/>
      <c r="C86" s="300"/>
      <c r="D86" s="116"/>
      <c r="E86" s="117"/>
      <c r="F86" s="117"/>
      <c r="G86" s="118"/>
      <c r="H86" s="116">
        <f>+IF(AND(N8=4,N10=4,I16&gt;=1),1,0)</f>
        <v>0</v>
      </c>
      <c r="I86" s="117"/>
      <c r="J86" s="117"/>
      <c r="K86" s="118"/>
      <c r="L86" s="116"/>
      <c r="M86" s="117"/>
      <c r="N86" s="117"/>
      <c r="O86" s="118"/>
      <c r="P86" s="96"/>
      <c r="Q86" s="96"/>
      <c r="R86" s="96"/>
      <c r="S86" s="96"/>
      <c r="T86" s="96">
        <f>+IF(AND(N8=5,V13&gt;1,N10&lt;&gt;1,I16&gt;=1,H28="si"),32,0)</f>
        <v>0</v>
      </c>
      <c r="U86" s="117">
        <v>32</v>
      </c>
      <c r="V86" s="134" t="s">
        <v>225</v>
      </c>
      <c r="W86" s="96"/>
      <c r="X86" s="96"/>
      <c r="Y86" s="96">
        <v>1</v>
      </c>
      <c r="Z86" s="96">
        <f>+IF(AND(N8=5,V13&gt;1,N10&lt;&gt;1,I16&gt;=1,H28="si",M6&lt;&gt;3),32,0)</f>
        <v>0</v>
      </c>
      <c r="AA86" s="95"/>
      <c r="AB86" s="149"/>
    </row>
    <row r="87" spans="1:28" ht="11.25" customHeight="1" hidden="1">
      <c r="A87" s="304"/>
      <c r="B87" s="299"/>
      <c r="C87" s="300"/>
      <c r="D87" s="116"/>
      <c r="E87" s="117"/>
      <c r="F87" s="117"/>
      <c r="G87" s="118"/>
      <c r="H87" s="116">
        <f>+IF(AND(N8=4,N10=4,I16=0,V13=1),1,0)</f>
        <v>0</v>
      </c>
      <c r="I87" s="117"/>
      <c r="J87" s="117"/>
      <c r="K87" s="118"/>
      <c r="L87" s="116"/>
      <c r="M87" s="117"/>
      <c r="N87" s="117"/>
      <c r="O87" s="118"/>
      <c r="P87" s="96"/>
      <c r="Q87" s="96"/>
      <c r="R87" s="96"/>
      <c r="S87" s="96"/>
      <c r="T87" s="96">
        <f>+IF(AND(N8=5,D33="Tradicional",N10&gt;1,I16=0,N13="Abierto"),33,0)</f>
        <v>0</v>
      </c>
      <c r="U87" s="96">
        <v>33</v>
      </c>
      <c r="V87" s="134" t="s">
        <v>225</v>
      </c>
      <c r="W87" s="96"/>
      <c r="X87" s="96"/>
      <c r="Y87" s="96">
        <v>1</v>
      </c>
      <c r="Z87" s="96"/>
      <c r="AA87" s="95"/>
      <c r="AB87" s="149"/>
    </row>
    <row r="88" spans="1:28" ht="11.25" customHeight="1" hidden="1">
      <c r="A88" s="304"/>
      <c r="B88" s="299"/>
      <c r="C88" s="300"/>
      <c r="D88" s="116"/>
      <c r="E88" s="117"/>
      <c r="F88" s="117"/>
      <c r="G88" s="118"/>
      <c r="H88" s="154">
        <f>+IF(AND(S6=2,N8=4,N10=1,I16=0,V13=1),1,0)</f>
        <v>0</v>
      </c>
      <c r="I88" s="117"/>
      <c r="J88" s="117"/>
      <c r="K88" s="118"/>
      <c r="L88" s="116"/>
      <c r="M88" s="117"/>
      <c r="N88" s="117"/>
      <c r="O88" s="118"/>
      <c r="P88" s="96"/>
      <c r="Q88" s="96"/>
      <c r="R88" s="96"/>
      <c r="S88" s="96"/>
      <c r="T88" s="96">
        <f>+IF(AND(N8=5,V13=1,N13="Mixto",W20&lt;=3,N10&gt;3,I16&gt;=1),34,0)</f>
        <v>0</v>
      </c>
      <c r="U88" s="96">
        <v>34</v>
      </c>
      <c r="V88" s="134" t="s">
        <v>225</v>
      </c>
      <c r="W88" s="96"/>
      <c r="X88" s="96"/>
      <c r="Y88" s="96">
        <v>1</v>
      </c>
      <c r="Z88" s="96"/>
      <c r="AA88" s="95"/>
      <c r="AB88" s="149"/>
    </row>
    <row r="89" spans="1:28" ht="11.25" customHeight="1" hidden="1">
      <c r="A89" s="304"/>
      <c r="B89" s="299"/>
      <c r="C89" s="300"/>
      <c r="D89" s="116"/>
      <c r="E89" s="117"/>
      <c r="F89" s="117"/>
      <c r="G89" s="118"/>
      <c r="H89" s="154">
        <f>+IF(AND(S6=2,N8=4,N10=1,I16&gt;=1,V13=1),1,0)</f>
        <v>0</v>
      </c>
      <c r="I89" s="117"/>
      <c r="J89" s="117"/>
      <c r="K89" s="118"/>
      <c r="L89" s="116"/>
      <c r="M89" s="117"/>
      <c r="N89" s="117"/>
      <c r="O89" s="118"/>
      <c r="P89" s="96"/>
      <c r="Q89" s="96"/>
      <c r="R89" s="96"/>
      <c r="S89" s="96"/>
      <c r="T89" s="96">
        <f>+IF(AND(N8=5,V13&gt;1,W20=1,N13="Mixto",N10&lt;&gt;1),35,0)</f>
        <v>0</v>
      </c>
      <c r="U89" s="96">
        <v>35</v>
      </c>
      <c r="V89" s="134" t="s">
        <v>225</v>
      </c>
      <c r="W89" s="96"/>
      <c r="X89" s="96"/>
      <c r="Y89" s="96">
        <v>1</v>
      </c>
      <c r="Z89" s="96"/>
      <c r="AA89" s="95"/>
      <c r="AB89" s="149"/>
    </row>
    <row r="90" spans="1:28" ht="11.25" customHeight="1" hidden="1">
      <c r="A90" s="305"/>
      <c r="B90" s="301"/>
      <c r="C90" s="302"/>
      <c r="D90" s="129"/>
      <c r="E90" s="130"/>
      <c r="F90" s="130"/>
      <c r="G90" s="131"/>
      <c r="H90" s="129">
        <f>+IF(AND(N8=4,N10=5,I16&gt;=1),1,0)</f>
        <v>0</v>
      </c>
      <c r="I90" s="130"/>
      <c r="J90" s="130"/>
      <c r="K90" s="131"/>
      <c r="L90" s="129"/>
      <c r="M90" s="130"/>
      <c r="N90" s="130"/>
      <c r="O90" s="131"/>
      <c r="P90" s="96"/>
      <c r="Q90" s="96"/>
      <c r="R90" s="96"/>
      <c r="S90" s="96"/>
      <c r="T90" s="96">
        <f>+IF(AND(OR(M6=1,M6=3,M6=4),N8=3,D33="Tradicional",N10=5,H28="si"),36,0)</f>
        <v>0</v>
      </c>
      <c r="U90" s="96">
        <v>36</v>
      </c>
      <c r="V90" s="134" t="s">
        <v>225</v>
      </c>
      <c r="W90" s="96"/>
      <c r="X90" s="96"/>
      <c r="Y90" s="96">
        <v>1</v>
      </c>
      <c r="Z90" s="96"/>
      <c r="AA90" s="95"/>
      <c r="AB90" s="149"/>
    </row>
    <row r="91" spans="1:28" ht="11.25" customHeight="1" hidden="1">
      <c r="A91" s="96"/>
      <c r="B91" s="96"/>
      <c r="C91" s="96"/>
      <c r="D91" s="134" t="s">
        <v>22</v>
      </c>
      <c r="E91" s="96"/>
      <c r="F91" s="96">
        <f>+D92+D93+D94+D95+D96</f>
        <v>0</v>
      </c>
      <c r="G91" s="96"/>
      <c r="H91" s="97" t="s">
        <v>24</v>
      </c>
      <c r="I91" s="96"/>
      <c r="J91" s="96">
        <f>+H92+H93+H94+H95+H96+H97+H98+H99+H100+I92</f>
        <v>0</v>
      </c>
      <c r="K91" s="96"/>
      <c r="L91" s="134" t="s">
        <v>33</v>
      </c>
      <c r="M91" s="96"/>
      <c r="N91" s="96">
        <f>+L92+L93+L94+L95+L96+L97+L98+L99</f>
        <v>0</v>
      </c>
      <c r="O91" s="96"/>
      <c r="P91" s="96"/>
      <c r="Q91" s="96"/>
      <c r="R91" s="96"/>
      <c r="S91" s="96" t="s">
        <v>129</v>
      </c>
      <c r="T91" s="96"/>
      <c r="U91" s="96">
        <v>37</v>
      </c>
      <c r="V91" s="134" t="s">
        <v>225</v>
      </c>
      <c r="W91" s="96"/>
      <c r="X91" s="96"/>
      <c r="Y91" s="96">
        <v>1</v>
      </c>
      <c r="Z91" s="96"/>
      <c r="AA91" s="95"/>
      <c r="AB91" s="149"/>
    </row>
    <row r="92" spans="1:28" ht="11.25" customHeight="1" hidden="1">
      <c r="A92" s="303" t="s">
        <v>85</v>
      </c>
      <c r="B92" s="297" t="s">
        <v>10</v>
      </c>
      <c r="C92" s="298"/>
      <c r="D92" s="150"/>
      <c r="E92" s="151"/>
      <c r="F92" s="151"/>
      <c r="G92" s="152"/>
      <c r="H92" s="150">
        <f>+IF(AND(N8=5,N10=2,I16&gt;=1),1,0)</f>
        <v>0</v>
      </c>
      <c r="I92" s="151">
        <f>+IF(AND(N8=5,N10=5,I16=0,V13=1),1,0)</f>
        <v>0</v>
      </c>
      <c r="J92" s="151"/>
      <c r="K92" s="152"/>
      <c r="L92" s="150">
        <f>+IF(AND(N8=5,V13=1),1,0)</f>
        <v>0</v>
      </c>
      <c r="M92" s="151"/>
      <c r="N92" s="151"/>
      <c r="O92" s="152"/>
      <c r="P92" s="96"/>
      <c r="Q92" s="96" t="s">
        <v>130</v>
      </c>
      <c r="R92" s="96"/>
      <c r="S92" s="96"/>
      <c r="T92" s="96">
        <f>+IF(AND(N8=3,V13&gt;1,N10&lt;&gt;1,N10&lt;&gt;5,N10&lt;&gt;4,I16&gt;=1,H28="si"),38,0)</f>
        <v>0</v>
      </c>
      <c r="U92" s="96">
        <v>38</v>
      </c>
      <c r="V92" s="134" t="s">
        <v>225</v>
      </c>
      <c r="W92" s="96"/>
      <c r="X92" s="96"/>
      <c r="Y92" s="96">
        <v>1</v>
      </c>
      <c r="Z92" s="96"/>
      <c r="AA92" s="95"/>
      <c r="AB92" s="149"/>
    </row>
    <row r="93" spans="1:28" ht="11.25" customHeight="1" hidden="1">
      <c r="A93" s="304"/>
      <c r="B93" s="299"/>
      <c r="C93" s="300"/>
      <c r="D93" s="116"/>
      <c r="E93" s="117"/>
      <c r="F93" s="117"/>
      <c r="G93" s="118"/>
      <c r="H93" s="116">
        <f>+IF(AND(N8=5,N10=2,I16=0,V13=1),1,0)</f>
        <v>0</v>
      </c>
      <c r="I93" s="117"/>
      <c r="J93" s="117"/>
      <c r="K93" s="118"/>
      <c r="L93" s="116"/>
      <c r="M93" s="117"/>
      <c r="N93" s="117"/>
      <c r="O93" s="118"/>
      <c r="P93" s="96"/>
      <c r="Q93" s="96" t="s">
        <v>10</v>
      </c>
      <c r="R93" s="96"/>
      <c r="S93" s="96"/>
      <c r="T93" s="96">
        <f>+IF(AND(N8=3,V13=1,W20&gt;1,W20&lt;=3,N13="Abierto",N10&gt;1,N10&lt;&gt;5,N10&lt;&gt;4,H28="si"),39,0)</f>
        <v>0</v>
      </c>
      <c r="U93" s="96">
        <v>39</v>
      </c>
      <c r="V93" s="134" t="s">
        <v>225</v>
      </c>
      <c r="W93" s="96"/>
      <c r="X93" s="96"/>
      <c r="Y93" s="96">
        <v>1</v>
      </c>
      <c r="Z93" s="96"/>
      <c r="AA93" s="95"/>
      <c r="AB93" s="149"/>
    </row>
    <row r="94" spans="1:28" ht="11.25" customHeight="1" hidden="1">
      <c r="A94" s="304"/>
      <c r="B94" s="299"/>
      <c r="C94" s="300"/>
      <c r="D94" s="116"/>
      <c r="E94" s="117"/>
      <c r="F94" s="117"/>
      <c r="G94" s="118"/>
      <c r="H94" s="116">
        <f>+IF(AND(N8=5,N10=3,I16&gt;=1),1,0)</f>
        <v>0</v>
      </c>
      <c r="I94" s="117"/>
      <c r="J94" s="117"/>
      <c r="K94" s="118"/>
      <c r="L94" s="116"/>
      <c r="M94" s="117"/>
      <c r="N94" s="117"/>
      <c r="O94" s="118"/>
      <c r="P94" s="96"/>
      <c r="Q94" s="96" t="s">
        <v>8</v>
      </c>
      <c r="R94" s="96"/>
      <c r="S94" s="96"/>
      <c r="T94" s="96">
        <f>+IF(AND(N8=3,W20&gt;3,V13=1,N10=3),40,0)</f>
        <v>0</v>
      </c>
      <c r="U94" s="96">
        <v>40</v>
      </c>
      <c r="V94" s="134" t="s">
        <v>225</v>
      </c>
      <c r="W94" s="96"/>
      <c r="X94" s="96"/>
      <c r="Y94" s="96">
        <v>1</v>
      </c>
      <c r="Z94" s="96"/>
      <c r="AA94" s="95"/>
      <c r="AB94" s="149"/>
    </row>
    <row r="95" spans="1:28" ht="11.25" customHeight="1" hidden="1">
      <c r="A95" s="304"/>
      <c r="B95" s="299"/>
      <c r="C95" s="300"/>
      <c r="D95" s="116"/>
      <c r="E95" s="117"/>
      <c r="F95" s="117"/>
      <c r="G95" s="118"/>
      <c r="H95" s="116">
        <f>+IF(AND(N8=5,N10=3,I16=0,V13=1),1,0)</f>
        <v>0</v>
      </c>
      <c r="I95" s="117"/>
      <c r="J95" s="117"/>
      <c r="K95" s="118"/>
      <c r="L95" s="116"/>
      <c r="M95" s="117"/>
      <c r="N95" s="117"/>
      <c r="O95" s="118"/>
      <c r="P95" s="96"/>
      <c r="Q95" s="96" t="s">
        <v>9</v>
      </c>
      <c r="R95" s="96"/>
      <c r="S95" s="96"/>
      <c r="T95" s="96">
        <f>+IF(AND(N8=3,W20&gt;3,V13=1,N10=2),41,0)</f>
        <v>0</v>
      </c>
      <c r="U95" s="96">
        <v>41</v>
      </c>
      <c r="V95" s="134" t="s">
        <v>225</v>
      </c>
      <c r="W95" s="96"/>
      <c r="X95" s="96"/>
      <c r="Y95" s="96">
        <v>1</v>
      </c>
      <c r="Z95" s="96"/>
      <c r="AA95" s="95"/>
      <c r="AB95" s="149"/>
    </row>
    <row r="96" spans="1:28" ht="11.25" customHeight="1" hidden="1">
      <c r="A96" s="304"/>
      <c r="B96" s="299"/>
      <c r="C96" s="300"/>
      <c r="D96" s="116"/>
      <c r="E96" s="117"/>
      <c r="F96" s="117"/>
      <c r="G96" s="118"/>
      <c r="H96" s="116">
        <f>+IF(AND(N8=5,N10=4,I16&gt;=1),1,0)</f>
        <v>0</v>
      </c>
      <c r="I96" s="117"/>
      <c r="J96" s="117"/>
      <c r="K96" s="118"/>
      <c r="L96" s="116"/>
      <c r="M96" s="117"/>
      <c r="N96" s="117"/>
      <c r="O96" s="118"/>
      <c r="P96" s="96"/>
      <c r="Q96" s="96" t="s">
        <v>11</v>
      </c>
      <c r="R96" s="96"/>
      <c r="S96" s="96"/>
      <c r="T96" s="96">
        <f>+IF(AND(D33="Tradicional",N10&gt;1,N8=4,H28="si"),42,0)</f>
        <v>0</v>
      </c>
      <c r="U96" s="96">
        <v>42</v>
      </c>
      <c r="V96" s="134" t="s">
        <v>225</v>
      </c>
      <c r="W96" s="96"/>
      <c r="X96" s="96"/>
      <c r="Y96" s="96">
        <v>1</v>
      </c>
      <c r="Z96" s="96"/>
      <c r="AA96" s="95"/>
      <c r="AB96" s="149"/>
    </row>
    <row r="97" spans="1:28" ht="11.25" customHeight="1" hidden="1">
      <c r="A97" s="304"/>
      <c r="B97" s="299"/>
      <c r="C97" s="300"/>
      <c r="D97" s="116"/>
      <c r="E97" s="117"/>
      <c r="F97" s="117"/>
      <c r="G97" s="118"/>
      <c r="H97" s="116">
        <f>+IF(AND(N8=5,N10=4,I16=0,V13=1),1,0)</f>
        <v>0</v>
      </c>
      <c r="I97" s="117"/>
      <c r="J97" s="117"/>
      <c r="K97" s="118"/>
      <c r="L97" s="116"/>
      <c r="M97" s="117"/>
      <c r="N97" s="117"/>
      <c r="O97" s="118"/>
      <c r="P97" s="96"/>
      <c r="Q97" s="96"/>
      <c r="R97" s="96"/>
      <c r="S97" s="96"/>
      <c r="T97" s="2" t="e">
        <f>+IF(AND(SUM(T55:T96)=0,N8=6,I16&gt;=1,D33="tradicional"),43,0)</f>
        <v>#N/A</v>
      </c>
      <c r="U97" s="2">
        <v>43</v>
      </c>
      <c r="V97" s="134" t="s">
        <v>225</v>
      </c>
      <c r="W97" s="96"/>
      <c r="X97" s="96"/>
      <c r="Y97" s="96">
        <v>1</v>
      </c>
      <c r="Z97" s="96"/>
      <c r="AA97" s="95"/>
      <c r="AB97" s="149"/>
    </row>
    <row r="98" spans="1:28" ht="11.25" customHeight="1" hidden="1">
      <c r="A98" s="304"/>
      <c r="B98" s="299"/>
      <c r="C98" s="300"/>
      <c r="D98" s="116"/>
      <c r="E98" s="117"/>
      <c r="F98" s="117"/>
      <c r="G98" s="118"/>
      <c r="H98" s="154">
        <f>+IF(AND(S6=2,N8=5,N10=1,I16=0,V13=1),1,0)</f>
        <v>0</v>
      </c>
      <c r="I98" s="117"/>
      <c r="J98" s="117"/>
      <c r="K98" s="118"/>
      <c r="L98" s="116"/>
      <c r="M98" s="117"/>
      <c r="N98" s="117"/>
      <c r="O98" s="118"/>
      <c r="P98" s="96"/>
      <c r="Q98" s="96"/>
      <c r="R98" s="96"/>
      <c r="S98" s="96"/>
      <c r="T98" s="96" t="e">
        <f>+IF(AND(SUM(T55:T97)=0,D33="Tradicional",W25&lt;=3,M6=4),44,0)</f>
        <v>#N/A</v>
      </c>
      <c r="U98" s="96">
        <v>44</v>
      </c>
      <c r="V98" s="134" t="s">
        <v>225</v>
      </c>
      <c r="W98" s="96"/>
      <c r="X98" s="96"/>
      <c r="Y98" s="96">
        <v>1</v>
      </c>
      <c r="Z98" s="96"/>
      <c r="AA98" s="95"/>
      <c r="AB98" s="149"/>
    </row>
    <row r="99" spans="1:28" ht="11.25" customHeight="1" hidden="1">
      <c r="A99" s="304"/>
      <c r="B99" s="299"/>
      <c r="C99" s="300"/>
      <c r="D99" s="116"/>
      <c r="E99" s="117"/>
      <c r="F99" s="117"/>
      <c r="G99" s="118"/>
      <c r="H99" s="154">
        <f>+IF(AND(S6=2,N8=5,N10=1,I16&gt;=1,V13=1),1,0)</f>
        <v>0</v>
      </c>
      <c r="I99" s="117"/>
      <c r="J99" s="117"/>
      <c r="K99" s="118"/>
      <c r="L99" s="116"/>
      <c r="M99" s="117"/>
      <c r="N99" s="117"/>
      <c r="O99" s="118"/>
      <c r="P99" s="96"/>
      <c r="Q99" s="96"/>
      <c r="R99" s="96"/>
      <c r="S99" s="96"/>
      <c r="T99" s="96" t="e">
        <f>+IF(AND(SUM(T55:T97)=0,D33="Tradicional",W25&lt;=3,AND(M6=3,N8&lt;&gt;5)),45,0)</f>
        <v>#N/A</v>
      </c>
      <c r="U99" s="96">
        <v>45</v>
      </c>
      <c r="V99" s="134" t="s">
        <v>225</v>
      </c>
      <c r="W99" s="96"/>
      <c r="X99" s="96"/>
      <c r="Y99" s="96">
        <v>1</v>
      </c>
      <c r="Z99" s="96"/>
      <c r="AA99" s="95"/>
      <c r="AB99" s="149"/>
    </row>
    <row r="100" spans="1:28" ht="11.25" customHeight="1" hidden="1">
      <c r="A100" s="305"/>
      <c r="B100" s="301"/>
      <c r="C100" s="302"/>
      <c r="D100" s="129"/>
      <c r="E100" s="130"/>
      <c r="F100" s="130"/>
      <c r="G100" s="131"/>
      <c r="H100" s="129">
        <f>+IF(AND(N8=5,N10=5,I16&gt;=1),1,0)</f>
        <v>0</v>
      </c>
      <c r="I100" s="130"/>
      <c r="J100" s="130"/>
      <c r="K100" s="131"/>
      <c r="L100" s="129"/>
      <c r="M100" s="130"/>
      <c r="N100" s="130"/>
      <c r="O100" s="131"/>
      <c r="P100" s="96"/>
      <c r="Q100" s="96"/>
      <c r="R100" s="96"/>
      <c r="S100" s="96"/>
      <c r="T100" s="96" t="e">
        <f>+IF(AND(SUM(T55:T97)=0,D33="Tradicional",W25&lt;=3,M6=2,I16&gt;1,AND(N1&lt;&gt;1,N8&lt;&gt;5,N10&lt;&gt;2,N10&lt;&gt;3,W20&gt;3,V13&lt;&gt;1)),46,0)</f>
        <v>#N/A</v>
      </c>
      <c r="U100" s="96">
        <v>46</v>
      </c>
      <c r="V100" s="134" t="s">
        <v>225</v>
      </c>
      <c r="W100" s="96"/>
      <c r="X100" s="96"/>
      <c r="Y100" s="96">
        <v>1</v>
      </c>
      <c r="Z100" s="96"/>
      <c r="AA100" s="95"/>
      <c r="AB100" s="149"/>
    </row>
    <row r="101" spans="1:28" ht="11.25" customHeight="1" hidden="1">
      <c r="A101" s="96"/>
      <c r="B101" s="96"/>
      <c r="C101" s="96"/>
      <c r="D101" s="134" t="s">
        <v>22</v>
      </c>
      <c r="E101" s="96"/>
      <c r="F101" s="96">
        <f>+D102+D103+D104+D105+D106</f>
        <v>0</v>
      </c>
      <c r="G101" s="96"/>
      <c r="H101" s="97" t="s">
        <v>24</v>
      </c>
      <c r="I101" s="96"/>
      <c r="J101" s="96">
        <f>+H102+H103+H104+H105+H106+H107+H108+H109+H110+I102</f>
        <v>0</v>
      </c>
      <c r="K101" s="96"/>
      <c r="L101" s="134" t="s">
        <v>33</v>
      </c>
      <c r="M101" s="96"/>
      <c r="N101" s="96">
        <f>+L102+L103+L104+L105+L106+L107+L108+L109</f>
        <v>0</v>
      </c>
      <c r="O101" s="96"/>
      <c r="P101" s="96"/>
      <c r="Q101" s="96"/>
      <c r="R101" s="96"/>
      <c r="S101" s="96"/>
      <c r="T101" s="96" t="e">
        <f>+IF(AND(SUM(T55:T97)=0,D33="Tradicional",W25&lt;=3,M6=1,AND(N1&lt;&gt;1,N8&lt;&gt;5,N10&lt;&gt;2,N10&lt;&gt;3,I16&lt;1,W20&gt;3,V13&lt;&gt;1)),47,0)</f>
        <v>#N/A</v>
      </c>
      <c r="U101" s="96">
        <v>47</v>
      </c>
      <c r="V101" s="134" t="s">
        <v>225</v>
      </c>
      <c r="W101" s="96"/>
      <c r="X101" s="96"/>
      <c r="Y101" s="96">
        <v>1</v>
      </c>
      <c r="Z101" s="96"/>
      <c r="AA101" s="95"/>
      <c r="AB101" s="149"/>
    </row>
    <row r="102" spans="1:28" ht="11.25" customHeight="1" hidden="1">
      <c r="A102" s="303" t="s">
        <v>85</v>
      </c>
      <c r="B102" s="297" t="s">
        <v>11</v>
      </c>
      <c r="C102" s="298"/>
      <c r="D102" s="150"/>
      <c r="E102" s="151"/>
      <c r="F102" s="151"/>
      <c r="G102" s="152"/>
      <c r="H102" s="150">
        <f>+IF(AND(N8=6,N10=2,I16&gt;=1),1,0)</f>
        <v>0</v>
      </c>
      <c r="I102" s="151">
        <f>+IF(AND(N8=6,N10=5,I16=0,V13=1),1,0)</f>
        <v>0</v>
      </c>
      <c r="J102" s="151"/>
      <c r="K102" s="152"/>
      <c r="L102" s="150">
        <f>+IF(AND(N8=6,V13=1),1,0)</f>
        <v>0</v>
      </c>
      <c r="M102" s="151"/>
      <c r="N102" s="151"/>
      <c r="O102" s="152"/>
      <c r="P102" s="96"/>
      <c r="Q102" s="96"/>
      <c r="R102" s="96"/>
      <c r="S102" s="96"/>
      <c r="T102" s="2" t="e">
        <f>+IF(AND(SUM(T55:T97)=0,D33="Tradicional",W25&lt;=3,M6=1,AND(T101=0,N8&lt;&gt;5,N8&lt;&gt;6)),48,0)</f>
        <v>#N/A</v>
      </c>
      <c r="U102" s="2">
        <v>48</v>
      </c>
      <c r="V102" s="134" t="s">
        <v>225</v>
      </c>
      <c r="W102" s="96"/>
      <c r="X102" s="96"/>
      <c r="Y102" s="96">
        <v>1</v>
      </c>
      <c r="Z102" s="96"/>
      <c r="AA102" s="95"/>
      <c r="AB102" s="149"/>
    </row>
    <row r="103" spans="1:28" ht="11.25" customHeight="1" hidden="1">
      <c r="A103" s="304"/>
      <c r="B103" s="299"/>
      <c r="C103" s="300"/>
      <c r="D103" s="116"/>
      <c r="E103" s="117"/>
      <c r="F103" s="117"/>
      <c r="G103" s="118"/>
      <c r="H103" s="116">
        <f>+IF(AND(N8=6,N10=2,I16=0,V13=1),1,0)</f>
        <v>0</v>
      </c>
      <c r="I103" s="117"/>
      <c r="J103" s="117"/>
      <c r="K103" s="118"/>
      <c r="L103" s="116"/>
      <c r="M103" s="117"/>
      <c r="N103" s="117"/>
      <c r="O103" s="118"/>
      <c r="P103" s="96"/>
      <c r="Q103" s="96"/>
      <c r="R103" s="96"/>
      <c r="S103" s="96"/>
      <c r="T103" s="96" t="e">
        <f>+IF(AND(SUM(T55:T97)=0,D33="Tradicional",W25&lt;=3,M6=2,AND(T100=0,N8&lt;&gt;5,N8&lt;&gt;6,N8&lt;&gt;8)),49,0)</f>
        <v>#N/A</v>
      </c>
      <c r="U103" s="96">
        <v>49</v>
      </c>
      <c r="V103" s="134" t="s">
        <v>225</v>
      </c>
      <c r="W103" s="96"/>
      <c r="X103" s="96"/>
      <c r="Y103" s="96">
        <v>1</v>
      </c>
      <c r="Z103" s="96"/>
      <c r="AA103" s="95"/>
      <c r="AB103" s="149"/>
    </row>
    <row r="104" spans="1:28" ht="11.25" customHeight="1" hidden="1">
      <c r="A104" s="304"/>
      <c r="B104" s="299"/>
      <c r="C104" s="300"/>
      <c r="D104" s="116"/>
      <c r="E104" s="117"/>
      <c r="F104" s="117"/>
      <c r="G104" s="118"/>
      <c r="H104" s="116">
        <f>+IF(AND(N8=6,N10=3,I16&gt;=1),1,0)</f>
        <v>0</v>
      </c>
      <c r="I104" s="117"/>
      <c r="J104" s="117"/>
      <c r="K104" s="118"/>
      <c r="L104" s="116"/>
      <c r="M104" s="117"/>
      <c r="N104" s="117"/>
      <c r="O104" s="118"/>
      <c r="P104" s="96"/>
      <c r="Q104" s="96"/>
      <c r="R104" s="96"/>
      <c r="S104" s="96"/>
      <c r="T104" s="96" t="e">
        <f>+IF(AND(SUM(T55:T97)=0,D33="Diferido",N8=3,W25=2,OR(N10=2,N10=3)),50,0)</f>
        <v>#N/A</v>
      </c>
      <c r="U104" s="96">
        <v>50</v>
      </c>
      <c r="V104" s="134" t="s">
        <v>252</v>
      </c>
      <c r="W104" s="96"/>
      <c r="X104" s="96"/>
      <c r="Y104" s="96">
        <v>0</v>
      </c>
      <c r="Z104" s="96"/>
      <c r="AA104" s="95"/>
      <c r="AB104" s="149"/>
    </row>
    <row r="105" spans="1:28" ht="11.25" customHeight="1" hidden="1">
      <c r="A105" s="304"/>
      <c r="B105" s="299"/>
      <c r="C105" s="300"/>
      <c r="D105" s="116"/>
      <c r="E105" s="117"/>
      <c r="F105" s="117"/>
      <c r="G105" s="118"/>
      <c r="H105" s="116">
        <f>+IF(AND(N8=6,N10=3,I16=0,V13=1),1,0)</f>
        <v>0</v>
      </c>
      <c r="I105" s="117"/>
      <c r="J105" s="117"/>
      <c r="K105" s="118"/>
      <c r="L105" s="116"/>
      <c r="M105" s="117"/>
      <c r="N105" s="117"/>
      <c r="O105" s="118"/>
      <c r="P105" s="96"/>
      <c r="Q105" s="96"/>
      <c r="R105" s="96"/>
      <c r="S105" s="96"/>
      <c r="T105" s="96"/>
      <c r="U105" s="96"/>
      <c r="V105" s="142"/>
      <c r="W105" s="96"/>
      <c r="X105" s="96"/>
      <c r="Y105" s="96"/>
      <c r="Z105" s="96"/>
      <c r="AA105" s="95"/>
      <c r="AB105" s="149"/>
    </row>
    <row r="106" spans="1:28" ht="11.25" customHeight="1" hidden="1">
      <c r="A106" s="304"/>
      <c r="B106" s="299"/>
      <c r="C106" s="300"/>
      <c r="D106" s="116"/>
      <c r="E106" s="117"/>
      <c r="F106" s="117"/>
      <c r="G106" s="118"/>
      <c r="H106" s="116">
        <f>+IF(AND(N8=6,N10=4,I16&gt;=1),1,0)</f>
        <v>0</v>
      </c>
      <c r="I106" s="117"/>
      <c r="J106" s="117"/>
      <c r="K106" s="118"/>
      <c r="L106" s="116"/>
      <c r="M106" s="117"/>
      <c r="N106" s="117"/>
      <c r="O106" s="118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5"/>
      <c r="AB106" s="149"/>
    </row>
    <row r="107" spans="1:28" ht="11.25" customHeight="1" hidden="1">
      <c r="A107" s="304"/>
      <c r="B107" s="299"/>
      <c r="C107" s="300"/>
      <c r="D107" s="116"/>
      <c r="E107" s="117"/>
      <c r="F107" s="117"/>
      <c r="G107" s="118"/>
      <c r="H107" s="116">
        <f>+IF(AND(N8=6,N10=4,I16=0,V13=1),1,0)</f>
        <v>0</v>
      </c>
      <c r="I107" s="117"/>
      <c r="J107" s="117"/>
      <c r="K107" s="118"/>
      <c r="L107" s="116"/>
      <c r="M107" s="117"/>
      <c r="N107" s="117"/>
      <c r="O107" s="118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5"/>
      <c r="AB107" s="149"/>
    </row>
    <row r="108" spans="1:28" ht="11.25" customHeight="1" hidden="1">
      <c r="A108" s="304"/>
      <c r="B108" s="299"/>
      <c r="C108" s="300"/>
      <c r="D108" s="116"/>
      <c r="E108" s="117"/>
      <c r="F108" s="117"/>
      <c r="G108" s="118"/>
      <c r="H108" s="154">
        <f>+IF(AND(S6=2,N8=6,N10=1,I16=0,V13=1),1,0)</f>
        <v>0</v>
      </c>
      <c r="I108" s="117"/>
      <c r="J108" s="117"/>
      <c r="K108" s="118"/>
      <c r="L108" s="116"/>
      <c r="M108" s="117"/>
      <c r="N108" s="117"/>
      <c r="O108" s="118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5"/>
      <c r="AB108" s="149"/>
    </row>
    <row r="109" spans="1:28" ht="11.25" customHeight="1" hidden="1">
      <c r="A109" s="304"/>
      <c r="B109" s="299"/>
      <c r="C109" s="300"/>
      <c r="D109" s="116"/>
      <c r="E109" s="117"/>
      <c r="F109" s="117"/>
      <c r="G109" s="118"/>
      <c r="H109" s="154">
        <f>+IF(AND(S6=2,N8=6,N10=1,I16&gt;=1,V13=1),1,0)</f>
        <v>0</v>
      </c>
      <c r="I109" s="117"/>
      <c r="J109" s="117"/>
      <c r="K109" s="118"/>
      <c r="L109" s="116"/>
      <c r="M109" s="117"/>
      <c r="N109" s="117"/>
      <c r="O109" s="118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5"/>
      <c r="AB109" s="149"/>
    </row>
    <row r="110" spans="1:28" ht="11.25" customHeight="1" hidden="1">
      <c r="A110" s="305"/>
      <c r="B110" s="301"/>
      <c r="C110" s="302"/>
      <c r="D110" s="129"/>
      <c r="E110" s="130"/>
      <c r="F110" s="130"/>
      <c r="G110" s="131"/>
      <c r="H110" s="129">
        <f>+IF(AND(N8=6,N10=5,I16&gt;=1),1,0)</f>
        <v>0</v>
      </c>
      <c r="I110" s="130"/>
      <c r="J110" s="130"/>
      <c r="K110" s="131"/>
      <c r="L110" s="129"/>
      <c r="M110" s="130"/>
      <c r="N110" s="130"/>
      <c r="O110" s="131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5"/>
      <c r="AB110" s="149"/>
    </row>
    <row r="111" spans="1:28" ht="11.25" customHeight="1" hidden="1">
      <c r="A111" s="96"/>
      <c r="B111" s="96"/>
      <c r="C111" s="96"/>
      <c r="D111" s="134" t="s">
        <v>22</v>
      </c>
      <c r="E111" s="96"/>
      <c r="F111" s="96">
        <f>+D112+D113+D114+D115+D116</f>
        <v>0</v>
      </c>
      <c r="G111" s="96"/>
      <c r="H111" s="97" t="s">
        <v>24</v>
      </c>
      <c r="I111" s="96"/>
      <c r="J111" s="96">
        <f>+H112+H113+H114+H115+H116+H117+H118+H119</f>
        <v>0</v>
      </c>
      <c r="K111" s="96"/>
      <c r="L111" s="134" t="s">
        <v>33</v>
      </c>
      <c r="M111" s="96"/>
      <c r="N111" s="96">
        <f>+L112+L113+L114+L115+L116+L117+L118+L119</f>
        <v>0</v>
      </c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5"/>
      <c r="AB111" s="149"/>
    </row>
    <row r="112" spans="1:28" ht="11.25" customHeight="1" hidden="1">
      <c r="A112" s="303" t="s">
        <v>85</v>
      </c>
      <c r="B112" s="297" t="s">
        <v>79</v>
      </c>
      <c r="C112" s="298"/>
      <c r="D112" s="150">
        <f>+IF(N8=8,1,0)</f>
        <v>0</v>
      </c>
      <c r="E112" s="151"/>
      <c r="F112" s="151"/>
      <c r="G112" s="152"/>
      <c r="H112" s="150">
        <f>+IF(N8=8,1,0)</f>
        <v>0</v>
      </c>
      <c r="I112" s="151"/>
      <c r="J112" s="151"/>
      <c r="K112" s="152"/>
      <c r="L112" s="150">
        <f>+IF(N8=8,1,0)</f>
        <v>0</v>
      </c>
      <c r="M112" s="151"/>
      <c r="N112" s="151"/>
      <c r="O112" s="152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5"/>
      <c r="AB112" s="149"/>
    </row>
    <row r="113" spans="1:28" ht="11.25" customHeight="1" hidden="1">
      <c r="A113" s="304"/>
      <c r="B113" s="299"/>
      <c r="C113" s="300"/>
      <c r="D113" s="116"/>
      <c r="E113" s="117"/>
      <c r="F113" s="117"/>
      <c r="G113" s="118"/>
      <c r="H113" s="116"/>
      <c r="I113" s="117"/>
      <c r="J113" s="117"/>
      <c r="K113" s="118"/>
      <c r="L113" s="116"/>
      <c r="M113" s="117"/>
      <c r="N113" s="117"/>
      <c r="O113" s="118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5"/>
      <c r="AB113" s="149"/>
    </row>
    <row r="114" spans="1:28" ht="11.25" customHeight="1" hidden="1">
      <c r="A114" s="304"/>
      <c r="B114" s="299"/>
      <c r="C114" s="300"/>
      <c r="D114" s="116"/>
      <c r="E114" s="117"/>
      <c r="F114" s="117"/>
      <c r="G114" s="118"/>
      <c r="H114" s="116"/>
      <c r="I114" s="117"/>
      <c r="J114" s="117"/>
      <c r="K114" s="118"/>
      <c r="L114" s="116"/>
      <c r="M114" s="117"/>
      <c r="N114" s="117"/>
      <c r="O114" s="118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5"/>
      <c r="AB114" s="149"/>
    </row>
    <row r="115" spans="1:28" ht="11.25" customHeight="1" hidden="1">
      <c r="A115" s="304"/>
      <c r="B115" s="299"/>
      <c r="C115" s="300"/>
      <c r="D115" s="116"/>
      <c r="E115" s="117"/>
      <c r="F115" s="117"/>
      <c r="G115" s="118"/>
      <c r="H115" s="116"/>
      <c r="I115" s="117"/>
      <c r="J115" s="117"/>
      <c r="K115" s="118"/>
      <c r="L115" s="116"/>
      <c r="M115" s="117"/>
      <c r="N115" s="117"/>
      <c r="O115" s="118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5"/>
      <c r="AB115" s="149"/>
    </row>
    <row r="116" spans="1:28" ht="11.25" customHeight="1" hidden="1">
      <c r="A116" s="304"/>
      <c r="B116" s="299"/>
      <c r="C116" s="300"/>
      <c r="D116" s="116"/>
      <c r="E116" s="117"/>
      <c r="F116" s="117"/>
      <c r="G116" s="118"/>
      <c r="H116" s="116"/>
      <c r="I116" s="117"/>
      <c r="J116" s="117"/>
      <c r="K116" s="118"/>
      <c r="L116" s="116"/>
      <c r="M116" s="117"/>
      <c r="N116" s="117"/>
      <c r="O116" s="118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5"/>
      <c r="AB116" s="149"/>
    </row>
    <row r="117" spans="1:28" ht="11.25" customHeight="1" hidden="1">
      <c r="A117" s="304"/>
      <c r="B117" s="299"/>
      <c r="C117" s="300"/>
      <c r="D117" s="116"/>
      <c r="E117" s="117"/>
      <c r="F117" s="117"/>
      <c r="G117" s="118"/>
      <c r="H117" s="116"/>
      <c r="I117" s="117"/>
      <c r="J117" s="117"/>
      <c r="K117" s="118"/>
      <c r="L117" s="116"/>
      <c r="M117" s="117"/>
      <c r="N117" s="117"/>
      <c r="O117" s="118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5"/>
      <c r="AB117" s="149"/>
    </row>
    <row r="118" spans="1:28" ht="11.25" customHeight="1" hidden="1">
      <c r="A118" s="304"/>
      <c r="B118" s="299"/>
      <c r="C118" s="300"/>
      <c r="D118" s="116"/>
      <c r="E118" s="117"/>
      <c r="F118" s="117"/>
      <c r="G118" s="118"/>
      <c r="H118" s="116"/>
      <c r="I118" s="117"/>
      <c r="J118" s="117"/>
      <c r="K118" s="118"/>
      <c r="L118" s="116"/>
      <c r="M118" s="117"/>
      <c r="N118" s="117"/>
      <c r="O118" s="118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5"/>
      <c r="AB118" s="149"/>
    </row>
    <row r="119" spans="1:28" ht="11.25" customHeight="1" hidden="1">
      <c r="A119" s="304"/>
      <c r="B119" s="299"/>
      <c r="C119" s="300"/>
      <c r="D119" s="116"/>
      <c r="E119" s="117"/>
      <c r="F119" s="117"/>
      <c r="G119" s="118"/>
      <c r="H119" s="116"/>
      <c r="I119" s="117"/>
      <c r="J119" s="117"/>
      <c r="K119" s="118"/>
      <c r="L119" s="116"/>
      <c r="M119" s="117"/>
      <c r="N119" s="117"/>
      <c r="O119" s="118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5"/>
      <c r="AB119" s="149"/>
    </row>
    <row r="120" spans="1:28" ht="11.25" customHeight="1" hidden="1">
      <c r="A120" s="305"/>
      <c r="B120" s="301"/>
      <c r="C120" s="302"/>
      <c r="D120" s="129"/>
      <c r="E120" s="130"/>
      <c r="F120" s="130"/>
      <c r="G120" s="131"/>
      <c r="H120" s="129"/>
      <c r="I120" s="130"/>
      <c r="J120" s="130"/>
      <c r="K120" s="131"/>
      <c r="L120" s="129"/>
      <c r="M120" s="130"/>
      <c r="N120" s="130"/>
      <c r="O120" s="131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5"/>
      <c r="AB120" s="149"/>
    </row>
    <row r="121" spans="1:28" ht="11.25" customHeight="1" hidden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5"/>
      <c r="AB121" s="149"/>
    </row>
    <row r="122" spans="1:28" ht="11.25" customHeight="1" hidden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5"/>
      <c r="AB122" s="149"/>
    </row>
    <row r="123" spans="1:28" ht="11.25" customHeight="1" hidden="1">
      <c r="A123" s="96"/>
      <c r="B123" s="96"/>
      <c r="C123" s="96"/>
      <c r="D123" s="96"/>
      <c r="E123" s="96"/>
      <c r="F123" s="96">
        <f>+IF(M6=2,F124+F134+F144+F184+F154+F164+F174,F196)</f>
        <v>0</v>
      </c>
      <c r="G123" s="96"/>
      <c r="H123" s="96"/>
      <c r="I123" s="96"/>
      <c r="J123" s="96">
        <f>+IF(M6=2,J124+J134+J144+J154+J164+J174+J184,J196)</f>
        <v>0</v>
      </c>
      <c r="K123" s="96"/>
      <c r="L123" s="96"/>
      <c r="M123" s="96"/>
      <c r="N123" s="96">
        <f>+IF(M6=2,N124+N134+N144+N154+N164+N174+N184,N196)</f>
        <v>0</v>
      </c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5"/>
      <c r="AB123" s="149"/>
    </row>
    <row r="124" spans="1:28" ht="11.25" customHeight="1" hidden="1">
      <c r="A124" s="96"/>
      <c r="B124" s="96"/>
      <c r="C124" s="96"/>
      <c r="D124" s="134" t="s">
        <v>22</v>
      </c>
      <c r="E124" s="96"/>
      <c r="F124" s="96" t="e">
        <f>+D125+D126+D127+D128+D129+D130+G125+G126+G127+G128+G129+G130</f>
        <v>#N/A</v>
      </c>
      <c r="G124" s="96"/>
      <c r="H124" s="97" t="s">
        <v>24</v>
      </c>
      <c r="I124" s="96"/>
      <c r="J124" s="96">
        <f>+H125+H126+H127+H128+H129+H130+H131+H132+H133+I125</f>
        <v>0</v>
      </c>
      <c r="K124" s="96"/>
      <c r="L124" s="134" t="s">
        <v>33</v>
      </c>
      <c r="M124" s="96"/>
      <c r="N124" s="96">
        <f>+L126+L127+L128+L129+L130+L131+L132</f>
        <v>0</v>
      </c>
      <c r="O124" s="96"/>
      <c r="P124" s="96" t="s">
        <v>34</v>
      </c>
      <c r="Q124" s="96"/>
      <c r="R124" s="96">
        <f>+P125+P126+P127+P128+P129+P130+P131+P132</f>
        <v>0</v>
      </c>
      <c r="S124" s="96"/>
      <c r="T124" s="96"/>
      <c r="U124" s="96"/>
      <c r="V124" s="96"/>
      <c r="W124" s="96"/>
      <c r="X124" s="96"/>
      <c r="Y124" s="96"/>
      <c r="Z124" s="96"/>
      <c r="AA124" s="95"/>
      <c r="AB124" s="149"/>
    </row>
    <row r="125" spans="1:28" ht="11.25" customHeight="1" hidden="1">
      <c r="A125" s="303" t="s">
        <v>86</v>
      </c>
      <c r="B125" s="297" t="s">
        <v>6</v>
      </c>
      <c r="C125" s="298"/>
      <c r="D125" s="150" t="e">
        <f>+IF(AND(N1=1,W25=1,N8=1,N10=2,I16&lt;=10),1,0)</f>
        <v>#N/A</v>
      </c>
      <c r="E125" s="151"/>
      <c r="F125" s="151"/>
      <c r="G125" s="152" t="e">
        <f>+IF(AND(N1=2,W25=1,N8=1,N10=2,I16&lt;=5),1,0)</f>
        <v>#N/A</v>
      </c>
      <c r="H125" s="150">
        <f>+IF(AND(N8=1,N10=2,I16&gt;=1),1,0)</f>
        <v>0</v>
      </c>
      <c r="I125" s="151">
        <f>+IF(AND(N8=1,N10=5,I16=0,V13=1),1,0)</f>
        <v>0</v>
      </c>
      <c r="J125" s="151"/>
      <c r="K125" s="152"/>
      <c r="L125" s="150" t="e">
        <f>+IF(AND(N8=1,F51=1),1,0)</f>
        <v>#N/A</v>
      </c>
      <c r="M125" s="151"/>
      <c r="N125" s="151"/>
      <c r="O125" s="152"/>
      <c r="P125" s="150">
        <f>+IF(AND(D33="Tradicional",N10=4),1,0)</f>
        <v>0</v>
      </c>
      <c r="Q125" s="151"/>
      <c r="R125" s="151"/>
      <c r="S125" s="152"/>
      <c r="T125" s="96" t="e">
        <f>+IF(AND(SUM(D125:D129)=0,D130=1,M6=2,S24=3),1,0)</f>
        <v>#N/A</v>
      </c>
      <c r="U125" s="96"/>
      <c r="V125" s="96"/>
      <c r="W125" s="96"/>
      <c r="X125" s="96"/>
      <c r="Y125" s="96"/>
      <c r="Z125" s="96"/>
      <c r="AA125" s="95"/>
      <c r="AB125" s="149"/>
    </row>
    <row r="126" spans="1:28" ht="11.25" customHeight="1" hidden="1">
      <c r="A126" s="304"/>
      <c r="B126" s="299"/>
      <c r="C126" s="300"/>
      <c r="D126" s="116" t="e">
        <f>+IF(AND(N1=1,W25=1,N8=1,N10=3,I16&lt;=10),1,0)</f>
        <v>#N/A</v>
      </c>
      <c r="E126" s="117"/>
      <c r="F126" s="117"/>
      <c r="G126" s="118" t="e">
        <f>+IF(AND(N1=2,W25=1,N8=1,N10=3,I16&lt;=5),1,0)</f>
        <v>#N/A</v>
      </c>
      <c r="H126" s="116">
        <f>+IF(AND(N8=1,N10=2,I16=0,V13=1),1,0)</f>
        <v>0</v>
      </c>
      <c r="I126" s="117"/>
      <c r="J126" s="117"/>
      <c r="K126" s="118"/>
      <c r="L126" s="116"/>
      <c r="M126" s="117"/>
      <c r="N126" s="117"/>
      <c r="O126" s="118"/>
      <c r="P126" s="116">
        <f>+IF(AND(D33="Tradicional",N10=5),1,0)</f>
        <v>0</v>
      </c>
      <c r="Q126" s="117"/>
      <c r="R126" s="117"/>
      <c r="S126" s="118"/>
      <c r="T126" s="96" t="e">
        <f>+T125+P135+P145+P155+P165+P175+T127+P136+P146</f>
        <v>#N/A</v>
      </c>
      <c r="U126" s="96"/>
      <c r="V126" s="96"/>
      <c r="W126" s="96"/>
      <c r="X126" s="96"/>
      <c r="Y126" s="96"/>
      <c r="Z126" s="96"/>
      <c r="AA126" s="95"/>
      <c r="AB126" s="149"/>
    </row>
    <row r="127" spans="1:46" ht="11.25" customHeight="1" hidden="1">
      <c r="A127" s="304"/>
      <c r="B127" s="299"/>
      <c r="C127" s="300"/>
      <c r="D127" s="116" t="e">
        <f>+IF(AND(N1=1,W25=1,N8=1,N10=1,I16&lt;2),1,0)</f>
        <v>#N/A</v>
      </c>
      <c r="E127" s="117"/>
      <c r="F127" s="117"/>
      <c r="G127" s="118" t="e">
        <f>+IF(AND(N1=2,W25=1,N8=1,N10=1,I16&lt;1),1,0)</f>
        <v>#N/A</v>
      </c>
      <c r="H127" s="116">
        <f>+IF(AND(N8=1,N10=3,I16&gt;=1),1,0)</f>
        <v>0</v>
      </c>
      <c r="I127" s="117"/>
      <c r="J127" s="117"/>
      <c r="K127" s="118"/>
      <c r="L127" s="116"/>
      <c r="M127" s="117"/>
      <c r="N127" s="117"/>
      <c r="O127" s="118"/>
      <c r="P127" s="116"/>
      <c r="Q127" s="117"/>
      <c r="R127" s="117"/>
      <c r="S127" s="118"/>
      <c r="T127" s="96" t="e">
        <f>+IF(AND(SUM(G125:G129)=0,G130=1,M6=2,S24=3),1,0)</f>
        <v>#N/A</v>
      </c>
      <c r="U127" s="96"/>
      <c r="V127" s="96"/>
      <c r="W127" s="96"/>
      <c r="X127" s="96"/>
      <c r="Y127" s="96"/>
      <c r="Z127" s="96"/>
      <c r="AA127" s="95"/>
      <c r="AB127" s="149"/>
      <c r="AO127" s="319" t="s">
        <v>131</v>
      </c>
      <c r="AP127" s="319"/>
      <c r="AQ127" s="319"/>
      <c r="AR127" s="319"/>
      <c r="AS127" s="319"/>
      <c r="AT127" s="319"/>
    </row>
    <row r="128" spans="1:44" ht="11.25" customHeight="1" hidden="1">
      <c r="A128" s="304"/>
      <c r="B128" s="299"/>
      <c r="C128" s="300"/>
      <c r="D128" s="116" t="e">
        <f>+IF(AND(N1=1,W25=1,N8=1,N10=4,I16&lt;2),1,0)</f>
        <v>#N/A</v>
      </c>
      <c r="E128" s="117"/>
      <c r="F128" s="117"/>
      <c r="G128" s="118" t="e">
        <f>+IF(AND(N1=2,W25=1,N8=1,N10=4,I16&lt;1),1,0)</f>
        <v>#N/A</v>
      </c>
      <c r="H128" s="116">
        <f>+IF(AND(N8=1,N10=3,I16=0,V13=1),1,0)</f>
        <v>0</v>
      </c>
      <c r="I128" s="117"/>
      <c r="J128" s="117"/>
      <c r="K128" s="118"/>
      <c r="L128" s="116"/>
      <c r="M128" s="117"/>
      <c r="N128" s="117"/>
      <c r="O128" s="118"/>
      <c r="P128" s="116"/>
      <c r="Q128" s="117"/>
      <c r="R128" s="117"/>
      <c r="S128" s="118"/>
      <c r="T128" s="96"/>
      <c r="U128" s="96"/>
      <c r="V128" s="96"/>
      <c r="W128" s="96"/>
      <c r="X128" s="96"/>
      <c r="Y128" s="96"/>
      <c r="Z128" s="96"/>
      <c r="AA128" s="95"/>
      <c r="AB128" s="149"/>
      <c r="AO128" s="96" t="e">
        <f>+IF(AND(M6=2,L17=4,S24=3,I16=1,W25&lt;3),1,0)</f>
        <v>#N/A</v>
      </c>
      <c r="AP128" s="96" t="e">
        <f>+IF(AND(M6=2,L17=4,S24=3,I16&gt;=2,W25&lt;3,N8&lt;=3,OR(N10=2,N10=3)),1,0)</f>
        <v>#N/A</v>
      </c>
      <c r="AQ128" s="96" t="e">
        <f>+AP128+AO128</f>
        <v>#N/A</v>
      </c>
      <c r="AR128" s="185" t="e">
        <f>+IF(AND(AO128&lt;&gt;0,D33="tradicional"),-1,0)</f>
        <v>#N/A</v>
      </c>
    </row>
    <row r="129" spans="1:28" ht="11.25" customHeight="1" hidden="1">
      <c r="A129" s="304"/>
      <c r="B129" s="299"/>
      <c r="C129" s="300"/>
      <c r="D129" s="116" t="e">
        <f>+IF(AND(N1=1,W25=1,N8=1,N10=5,I16&lt;2),1,0)</f>
        <v>#N/A</v>
      </c>
      <c r="E129" s="117"/>
      <c r="F129" s="117"/>
      <c r="G129" s="118" t="e">
        <f>+IF(AND(N1=2,W25=1,N8=1,N10=5,I16&lt;1),1,0)</f>
        <v>#N/A</v>
      </c>
      <c r="H129" s="116">
        <f>+IF(AND(N8=1,N10=4,I16&gt;=1),1,0)</f>
        <v>0</v>
      </c>
      <c r="I129" s="117"/>
      <c r="J129" s="117"/>
      <c r="K129" s="118"/>
      <c r="L129" s="116"/>
      <c r="M129" s="117"/>
      <c r="N129" s="117"/>
      <c r="O129" s="118"/>
      <c r="P129" s="116"/>
      <c r="Q129" s="117"/>
      <c r="R129" s="117"/>
      <c r="S129" s="118"/>
      <c r="T129" s="96"/>
      <c r="U129" s="96"/>
      <c r="V129" s="96"/>
      <c r="W129" s="96"/>
      <c r="X129" s="96"/>
      <c r="Y129" s="96"/>
      <c r="Z129" s="96"/>
      <c r="AA129" s="95"/>
      <c r="AB129" s="149"/>
    </row>
    <row r="130" spans="1:42" ht="11.25" customHeight="1" hidden="1">
      <c r="A130" s="304"/>
      <c r="B130" s="299"/>
      <c r="C130" s="300"/>
      <c r="D130" s="116" t="e">
        <f>+IF(AND(N1=1,N8=1,M6=2,SUM(D125:D129)=0,$O$25=1),1,0)</f>
        <v>#N/A</v>
      </c>
      <c r="E130" s="117"/>
      <c r="F130" s="117"/>
      <c r="G130" s="118" t="e">
        <f>+IF(AND(N1=2,N8=1,M6=2,SUM(G125:G129)=0,$O$25=1),1,0)</f>
        <v>#N/A</v>
      </c>
      <c r="H130" s="116">
        <f>+IF(AND(N8=1,N10=4,I16=0,V13=1),1,0)</f>
        <v>0</v>
      </c>
      <c r="I130" s="117"/>
      <c r="J130" s="117"/>
      <c r="K130" s="118"/>
      <c r="L130" s="116"/>
      <c r="M130" s="117"/>
      <c r="N130" s="117"/>
      <c r="O130" s="118"/>
      <c r="P130" s="116"/>
      <c r="Q130" s="117"/>
      <c r="R130" s="117"/>
      <c r="S130" s="118"/>
      <c r="T130" s="96"/>
      <c r="U130" s="96"/>
      <c r="V130" s="96"/>
      <c r="W130" s="96"/>
      <c r="X130" s="96"/>
      <c r="Y130" s="96"/>
      <c r="Z130" s="96"/>
      <c r="AA130" s="95"/>
      <c r="AB130" s="149"/>
      <c r="AO130" s="96" t="e">
        <f>+IF(AND(M6=2,L17=4,S24=3,I16=1,N10=1,T126=1),1,0)</f>
        <v>#N/A</v>
      </c>
      <c r="AP130" s="96" t="s">
        <v>266</v>
      </c>
    </row>
    <row r="131" spans="1:28" ht="11.25" customHeight="1" hidden="1">
      <c r="A131" s="304"/>
      <c r="B131" s="299"/>
      <c r="C131" s="300"/>
      <c r="D131" s="184" t="e">
        <f>+IF(AND(D130=1,D33="tradicional"),-1,0)</f>
        <v>#N/A</v>
      </c>
      <c r="E131" s="117"/>
      <c r="F131" s="117"/>
      <c r="G131" s="118"/>
      <c r="H131" s="154">
        <f>+IF(AND(S6=2,N8=1,N10=1,I16=0,V13=1),1,0)</f>
        <v>0</v>
      </c>
      <c r="I131" s="117"/>
      <c r="J131" s="117"/>
      <c r="K131" s="118"/>
      <c r="L131" s="116"/>
      <c r="M131" s="117"/>
      <c r="N131" s="117"/>
      <c r="O131" s="118"/>
      <c r="P131" s="116"/>
      <c r="Q131" s="117"/>
      <c r="R131" s="117"/>
      <c r="S131" s="118"/>
      <c r="T131" s="96"/>
      <c r="U131" s="96"/>
      <c r="V131" s="96"/>
      <c r="W131" s="96"/>
      <c r="X131" s="96"/>
      <c r="Y131" s="96"/>
      <c r="Z131" s="96"/>
      <c r="AA131" s="95"/>
      <c r="AB131" s="149"/>
    </row>
    <row r="132" spans="1:28" ht="11.25" customHeight="1" hidden="1">
      <c r="A132" s="304"/>
      <c r="B132" s="299"/>
      <c r="C132" s="300"/>
      <c r="D132" s="116"/>
      <c r="E132" s="117"/>
      <c r="F132" s="117"/>
      <c r="G132" s="118"/>
      <c r="H132" s="154">
        <f>+IF(AND(S6=2,N8=1,N10=1,I16&gt;=1,V13=1),1,0)</f>
        <v>0</v>
      </c>
      <c r="I132" s="117"/>
      <c r="J132" s="117"/>
      <c r="K132" s="118"/>
      <c r="L132" s="116"/>
      <c r="M132" s="117"/>
      <c r="N132" s="117"/>
      <c r="O132" s="118"/>
      <c r="P132" s="116"/>
      <c r="Q132" s="117"/>
      <c r="R132" s="117"/>
      <c r="S132" s="118"/>
      <c r="T132" s="96"/>
      <c r="U132" s="96"/>
      <c r="V132" s="96"/>
      <c r="W132" s="96"/>
      <c r="X132" s="96"/>
      <c r="Y132" s="96"/>
      <c r="Z132" s="96"/>
      <c r="AA132" s="95"/>
      <c r="AB132" s="149"/>
    </row>
    <row r="133" spans="1:28" ht="11.25" customHeight="1" hidden="1">
      <c r="A133" s="305"/>
      <c r="B133" s="301"/>
      <c r="C133" s="302"/>
      <c r="D133" s="129"/>
      <c r="E133" s="130"/>
      <c r="F133" s="130"/>
      <c r="G133" s="131"/>
      <c r="H133" s="129">
        <f>+IF(AND(N8=1,N10=5,I16&gt;=1),1,0)</f>
        <v>0</v>
      </c>
      <c r="I133" s="130"/>
      <c r="J133" s="130"/>
      <c r="K133" s="131"/>
      <c r="L133" s="129"/>
      <c r="M133" s="130"/>
      <c r="N133" s="130"/>
      <c r="O133" s="131"/>
      <c r="P133" s="129"/>
      <c r="Q133" s="130"/>
      <c r="R133" s="130"/>
      <c r="S133" s="131"/>
      <c r="T133" s="96"/>
      <c r="U133" s="96"/>
      <c r="V133" s="96"/>
      <c r="W133" s="96"/>
      <c r="X133" s="96"/>
      <c r="Y133" s="96"/>
      <c r="Z133" s="96"/>
      <c r="AA133" s="95"/>
      <c r="AB133" s="149"/>
    </row>
    <row r="134" spans="1:28" ht="11.25" customHeight="1" hidden="1">
      <c r="A134" s="96"/>
      <c r="B134" s="96"/>
      <c r="C134" s="96"/>
      <c r="D134" s="134" t="s">
        <v>22</v>
      </c>
      <c r="E134" s="96"/>
      <c r="F134" s="96" t="e">
        <f>+D135+D136+D137+D138+D139+D140+G135+G136+G137+G138+G139+G140</f>
        <v>#N/A</v>
      </c>
      <c r="G134" s="96"/>
      <c r="H134" s="97" t="s">
        <v>24</v>
      </c>
      <c r="I134" s="96"/>
      <c r="J134" s="96">
        <f>+H135+H136+H137+H138+H139+H140+H141+H142+H143+I135</f>
        <v>0</v>
      </c>
      <c r="K134" s="96"/>
      <c r="L134" s="134" t="s">
        <v>33</v>
      </c>
      <c r="M134" s="96"/>
      <c r="N134" s="96">
        <f>+L136+L137+L138+L139+L140+L141+L142</f>
        <v>0</v>
      </c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5"/>
      <c r="AB134" s="149"/>
    </row>
    <row r="135" spans="1:28" ht="11.25" customHeight="1" hidden="1">
      <c r="A135" s="303" t="s">
        <v>86</v>
      </c>
      <c r="B135" s="297" t="s">
        <v>7</v>
      </c>
      <c r="C135" s="298"/>
      <c r="D135" s="150" t="e">
        <f>+IF(AND(N1=1,W25=1,N8=2,N10=2,I16&lt;5),1,0)</f>
        <v>#N/A</v>
      </c>
      <c r="E135" s="151"/>
      <c r="F135" s="151"/>
      <c r="G135" s="152" t="e">
        <f>+IF(AND(N1=2,W25=1,N8=2,N10=2,I16&lt;3),1,0)</f>
        <v>#N/A</v>
      </c>
      <c r="H135" s="150">
        <f>+IF(AND(N8=2,N10=2,I16&gt;=1),1,0)</f>
        <v>0</v>
      </c>
      <c r="I135" s="151">
        <f>+IF(AND(N8=2,N10=5,I16=0,V13=1),1,0)</f>
        <v>0</v>
      </c>
      <c r="J135" s="151"/>
      <c r="K135" s="152"/>
      <c r="L135" s="150" t="e">
        <f>+IF(AND(N8=2,F61=1),1,0)</f>
        <v>#N/A</v>
      </c>
      <c r="M135" s="151"/>
      <c r="N135" s="151"/>
      <c r="O135" s="152"/>
      <c r="P135" s="96" t="e">
        <f>+IF(AND(SUM(D135:D139)=0,D140=1,M6=2,S24=3),1,0)</f>
        <v>#N/A</v>
      </c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5"/>
      <c r="AB135" s="149"/>
    </row>
    <row r="136" spans="1:28" ht="11.25" customHeight="1" hidden="1">
      <c r="A136" s="304"/>
      <c r="B136" s="299"/>
      <c r="C136" s="300"/>
      <c r="D136" s="116" t="e">
        <f>+IF(AND(N1=1,W25=1,N8=2,N10=3,I16&lt;5),1,0)</f>
        <v>#N/A</v>
      </c>
      <c r="E136" s="117"/>
      <c r="F136" s="117"/>
      <c r="G136" s="118" t="e">
        <f>+IF(AND(N1=2,W25=1,N8=2,N10=3,I16&lt;3),1,0)</f>
        <v>#N/A</v>
      </c>
      <c r="H136" s="116">
        <f>+IF(AND(N8=2,N10=2,I16=0,V13=1),1,0)</f>
        <v>0</v>
      </c>
      <c r="I136" s="117"/>
      <c r="J136" s="117"/>
      <c r="K136" s="118"/>
      <c r="L136" s="116"/>
      <c r="M136" s="117"/>
      <c r="N136" s="117"/>
      <c r="O136" s="118"/>
      <c r="P136" s="96" t="e">
        <f>+IF(AND(SUM(G135:G139)=0,G140=1,M6=2,S24=3),1,0)</f>
        <v>#N/A</v>
      </c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5"/>
      <c r="AB136" s="149"/>
    </row>
    <row r="137" spans="1:28" ht="11.25" customHeight="1" hidden="1">
      <c r="A137" s="304"/>
      <c r="B137" s="299"/>
      <c r="C137" s="300"/>
      <c r="D137" s="116" t="e">
        <f>+IF(AND(N1=1,W25=1,N8=2,N10=1,I16&lt;1),1,0)</f>
        <v>#N/A</v>
      </c>
      <c r="E137" s="117"/>
      <c r="F137" s="117"/>
      <c r="G137" s="118" t="e">
        <f>+IF(AND(N1=2,W25=1,N8=2,N10=1,I16&lt;1),1,0)</f>
        <v>#N/A</v>
      </c>
      <c r="H137" s="116">
        <f>+IF(AND(N8=2,N10=3,I16&gt;=1),1,0)</f>
        <v>0</v>
      </c>
      <c r="I137" s="117"/>
      <c r="J137" s="117"/>
      <c r="K137" s="118"/>
      <c r="L137" s="116"/>
      <c r="M137" s="117"/>
      <c r="N137" s="117"/>
      <c r="O137" s="118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5"/>
      <c r="AB137" s="149"/>
    </row>
    <row r="138" spans="1:28" ht="11.25" customHeight="1" hidden="1">
      <c r="A138" s="304"/>
      <c r="B138" s="299"/>
      <c r="C138" s="300"/>
      <c r="D138" s="116" t="e">
        <f>+IF(AND(N1=1,W25=1,N8=2,N10=4,I16&lt;1),1,0)</f>
        <v>#N/A</v>
      </c>
      <c r="E138" s="117"/>
      <c r="F138" s="117"/>
      <c r="G138" s="118" t="e">
        <f>+IF(AND(N1=2,W25=1,N8=2,N10=4,I16&lt;1),1,0)</f>
        <v>#N/A</v>
      </c>
      <c r="H138" s="116">
        <f>+IF(AND(N8=2,N10=3,I16=0,V13=1),1,0)</f>
        <v>0</v>
      </c>
      <c r="I138" s="117"/>
      <c r="J138" s="117"/>
      <c r="K138" s="118"/>
      <c r="L138" s="116"/>
      <c r="M138" s="117"/>
      <c r="N138" s="117"/>
      <c r="O138" s="118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5"/>
      <c r="AB138" s="149"/>
    </row>
    <row r="139" spans="1:28" ht="11.25" customHeight="1" hidden="1">
      <c r="A139" s="304"/>
      <c r="B139" s="299"/>
      <c r="C139" s="300"/>
      <c r="D139" s="116" t="e">
        <f>+IF(AND(N1=1,W25=1,N8=2,N10=5,I16&lt;1),1,0)</f>
        <v>#N/A</v>
      </c>
      <c r="E139" s="117"/>
      <c r="F139" s="117"/>
      <c r="G139" s="118" t="e">
        <f>+IF(AND(N1=2,W25=1,N8=2,N10=5,I16&lt;1),1,0)</f>
        <v>#N/A</v>
      </c>
      <c r="H139" s="116">
        <f>+IF(AND(N8=2,N10=4,I16&gt;=1),1,0)</f>
        <v>0</v>
      </c>
      <c r="I139" s="117"/>
      <c r="J139" s="117"/>
      <c r="K139" s="118"/>
      <c r="L139" s="116"/>
      <c r="M139" s="117"/>
      <c r="N139" s="117"/>
      <c r="O139" s="118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5"/>
      <c r="AB139" s="149"/>
    </row>
    <row r="140" spans="1:28" ht="11.25" customHeight="1" hidden="1">
      <c r="A140" s="304"/>
      <c r="B140" s="299"/>
      <c r="C140" s="300"/>
      <c r="D140" s="116" t="e">
        <f>+IF(AND(N1=1,N8=2,M6=2,SUM(D135:D139)=0,$O$25=1),1,0)</f>
        <v>#N/A</v>
      </c>
      <c r="E140" s="117"/>
      <c r="F140" s="117"/>
      <c r="G140" s="118" t="e">
        <f>+IF(AND(N1=2,N8=2,M6=2,SUM(G135:G139)=0,$O$25=1),1,0)</f>
        <v>#N/A</v>
      </c>
      <c r="H140" s="116">
        <f>+IF(AND(N8=2,N10=4,I16=0,V13=1),1,0)</f>
        <v>0</v>
      </c>
      <c r="I140" s="117"/>
      <c r="J140" s="117"/>
      <c r="K140" s="118"/>
      <c r="L140" s="116"/>
      <c r="M140" s="117"/>
      <c r="N140" s="117"/>
      <c r="O140" s="118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5"/>
      <c r="AB140" s="149"/>
    </row>
    <row r="141" spans="1:28" ht="11.25" customHeight="1" hidden="1">
      <c r="A141" s="304"/>
      <c r="B141" s="299"/>
      <c r="C141" s="300"/>
      <c r="D141" s="116"/>
      <c r="E141" s="117"/>
      <c r="F141" s="117"/>
      <c r="G141" s="118"/>
      <c r="H141" s="154">
        <f>+IF(AND(S6=2,N8=2,N10=1,I16=0,V13=1),1,0)</f>
        <v>0</v>
      </c>
      <c r="I141" s="117"/>
      <c r="J141" s="117"/>
      <c r="K141" s="118"/>
      <c r="L141" s="116"/>
      <c r="M141" s="117"/>
      <c r="N141" s="117"/>
      <c r="O141" s="118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5"/>
      <c r="AB141" s="149"/>
    </row>
    <row r="142" spans="1:28" ht="11.25" customHeight="1" hidden="1">
      <c r="A142" s="304"/>
      <c r="B142" s="299"/>
      <c r="C142" s="300"/>
      <c r="D142" s="116"/>
      <c r="E142" s="117"/>
      <c r="F142" s="117"/>
      <c r="G142" s="118"/>
      <c r="H142" s="154">
        <f>+IF(AND(S6=2,N8=2,N10=1,I16&gt;=1,V13=1),1,0)</f>
        <v>0</v>
      </c>
      <c r="I142" s="117"/>
      <c r="J142" s="117"/>
      <c r="K142" s="118"/>
      <c r="L142" s="116"/>
      <c r="M142" s="117"/>
      <c r="N142" s="117"/>
      <c r="O142" s="118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5"/>
      <c r="AB142" s="149"/>
    </row>
    <row r="143" spans="1:28" ht="11.25" customHeight="1" hidden="1">
      <c r="A143" s="305"/>
      <c r="B143" s="301"/>
      <c r="C143" s="302"/>
      <c r="D143" s="129"/>
      <c r="E143" s="130"/>
      <c r="F143" s="130"/>
      <c r="G143" s="131"/>
      <c r="H143" s="129">
        <f>+IF(AND(N8=2,N10=5,I16&gt;=1),1,0)</f>
        <v>0</v>
      </c>
      <c r="I143" s="130"/>
      <c r="J143" s="130"/>
      <c r="K143" s="131"/>
      <c r="L143" s="129"/>
      <c r="M143" s="130"/>
      <c r="N143" s="130"/>
      <c r="O143" s="131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5"/>
      <c r="AB143" s="149"/>
    </row>
    <row r="144" spans="1:28" ht="11.25" customHeight="1" hidden="1">
      <c r="A144" s="96"/>
      <c r="B144" s="96"/>
      <c r="C144" s="96"/>
      <c r="D144" s="134" t="s">
        <v>22</v>
      </c>
      <c r="E144" s="96"/>
      <c r="F144" s="96" t="e">
        <f>+D145+D146+D147+D148+D149+D150+D151+D152+D153+G145+G146+G147+G148+G149+G150+G151+G152+G153</f>
        <v>#N/A</v>
      </c>
      <c r="G144" s="96"/>
      <c r="H144" s="97" t="s">
        <v>24</v>
      </c>
      <c r="I144" s="96"/>
      <c r="J144" s="96">
        <f>+H145+H146+H147+H148+H149+H150+H151+H152+H153+I145</f>
        <v>0</v>
      </c>
      <c r="K144" s="96"/>
      <c r="L144" s="134" t="s">
        <v>33</v>
      </c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5"/>
      <c r="AB144" s="149"/>
    </row>
    <row r="145" spans="1:28" ht="11.25" customHeight="1" hidden="1">
      <c r="A145" s="303" t="s">
        <v>86</v>
      </c>
      <c r="B145" s="297" t="s">
        <v>8</v>
      </c>
      <c r="C145" s="298"/>
      <c r="D145" s="150" t="e">
        <f>+IF(AND(N1=1,W25=1,N8=3,N10=2,I16&lt;=1,V13&lt;2),1,0)</f>
        <v>#N/A</v>
      </c>
      <c r="E145" s="151"/>
      <c r="F145" s="151"/>
      <c r="G145" s="152" t="e">
        <f>+IF(AND(N1=2,W25=1,N8=3,N10=2,I16&lt;=1,V13&lt;2),1,0)</f>
        <v>#N/A</v>
      </c>
      <c r="H145" s="150">
        <f>+IF(AND(N8=3,N10=2,I16&gt;=1),1,0)</f>
        <v>0</v>
      </c>
      <c r="I145" s="151">
        <f>+IF(AND(N8=3,N10=5,I16=0,V13=1),1,0)</f>
        <v>0</v>
      </c>
      <c r="J145" s="151"/>
      <c r="K145" s="152"/>
      <c r="L145" s="150">
        <f>+IF(AND(N8=3,V13=1,I16&gt;=1,N10=2),1,0)</f>
        <v>0</v>
      </c>
      <c r="M145" s="151"/>
      <c r="N145" s="151"/>
      <c r="O145" s="152"/>
      <c r="P145" s="96" t="e">
        <f>+IF(AND(SUM(D145:D152)=0,D153=1,M6=2,S24=3),1,0)</f>
        <v>#N/A</v>
      </c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5"/>
      <c r="AB145" s="149"/>
    </row>
    <row r="146" spans="1:28" ht="11.25" customHeight="1" hidden="1">
      <c r="A146" s="304"/>
      <c r="B146" s="299"/>
      <c r="C146" s="300"/>
      <c r="D146" s="116" t="e">
        <f>+IF(AND(N1=1,W25=1,N8=3,N10=3,I16&lt;=1,V13&lt;2),1,0)</f>
        <v>#N/A</v>
      </c>
      <c r="E146" s="117"/>
      <c r="F146" s="117"/>
      <c r="G146" s="118" t="e">
        <f>+IF(AND(N1=2,W25=1,N8=3,N10=3,I16&lt;=1,V13&lt;2),1,0)</f>
        <v>#N/A</v>
      </c>
      <c r="H146" s="116">
        <f>+IF(AND(N8=3,N10=2,I16=0,V13=1),1,0)</f>
        <v>0</v>
      </c>
      <c r="I146" s="117"/>
      <c r="J146" s="117"/>
      <c r="K146" s="118"/>
      <c r="L146" s="116">
        <f>+IF(AND(N8=3,V13=1,I16&gt;=1,N10=3),1,0)</f>
        <v>0</v>
      </c>
      <c r="M146" s="117"/>
      <c r="N146" s="117"/>
      <c r="O146" s="118"/>
      <c r="P146" s="96" t="e">
        <f>+IF(AND(SUM(G145:G152)=0,G153=1,M6=2,S24=3),1,0)</f>
        <v>#N/A</v>
      </c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5"/>
      <c r="AB146" s="149"/>
    </row>
    <row r="147" spans="1:28" ht="11.25" customHeight="1" hidden="1">
      <c r="A147" s="304"/>
      <c r="B147" s="299"/>
      <c r="C147" s="300"/>
      <c r="D147" s="116" t="e">
        <f>+IF(AND(N1=1,W25=1,N8=3,N10=1,I16&lt;2,V13=1),1,0)</f>
        <v>#N/A</v>
      </c>
      <c r="E147" s="117"/>
      <c r="F147" s="117"/>
      <c r="G147" s="118" t="e">
        <f>+IF(AND(N1=2,W25=1,N8=3,N10=1,I16&lt;2,V13=1),1,0)</f>
        <v>#N/A</v>
      </c>
      <c r="H147" s="116">
        <f>+IF(AND(N8=3,N10=3,I16&gt;=1),1,0)</f>
        <v>0</v>
      </c>
      <c r="I147" s="117"/>
      <c r="J147" s="117"/>
      <c r="K147" s="118"/>
      <c r="L147" s="116" t="e">
        <f>+IF(AND(N8=3,V13=1,I16&gt;=1,L145=0,L146=0,F144=0),1,0)</f>
        <v>#N/A</v>
      </c>
      <c r="M147" s="117"/>
      <c r="N147" s="117"/>
      <c r="O147" s="118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5"/>
      <c r="AB147" s="149"/>
    </row>
    <row r="148" spans="1:28" ht="11.25" customHeight="1" hidden="1">
      <c r="A148" s="304"/>
      <c r="B148" s="299"/>
      <c r="C148" s="300"/>
      <c r="D148" s="116" t="e">
        <f>+IF(AND(N1=1,W25=1,N8=3,N10=4,I16&lt;1,V13&lt;2),1,0)</f>
        <v>#N/A</v>
      </c>
      <c r="E148" s="117"/>
      <c r="F148" s="117"/>
      <c r="G148" s="118" t="e">
        <f>+IF(AND(N1=2,W25=1,N8=3,N10=4,I16&lt;1,V13&lt;2),1,0)</f>
        <v>#N/A</v>
      </c>
      <c r="H148" s="116">
        <f>+IF(AND(N8=3,N10=3,I16=0,V13=1),1,0)</f>
        <v>0</v>
      </c>
      <c r="I148" s="117"/>
      <c r="J148" s="117"/>
      <c r="K148" s="118"/>
      <c r="L148" s="116"/>
      <c r="M148" s="117"/>
      <c r="N148" s="117"/>
      <c r="O148" s="118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5"/>
      <c r="AB148" s="149"/>
    </row>
    <row r="149" spans="1:28" ht="11.25" customHeight="1" hidden="1">
      <c r="A149" s="304"/>
      <c r="B149" s="299"/>
      <c r="C149" s="300"/>
      <c r="D149" s="116" t="e">
        <f>+IF(AND(N1=1,W25=1,N8=3,N10=5,I16&lt;1,V13&lt;2),1,0)</f>
        <v>#N/A</v>
      </c>
      <c r="E149" s="117"/>
      <c r="F149" s="117"/>
      <c r="G149" s="118" t="e">
        <f>+IF(AND(N1=2,W25=1,N8=3,N10=5,I16&lt;1,V13&lt;2),1,0)</f>
        <v>#N/A</v>
      </c>
      <c r="H149" s="116">
        <f>+IF(AND(N8=3,N10=4,I16&gt;=1),1,0)</f>
        <v>0</v>
      </c>
      <c r="I149" s="117"/>
      <c r="J149" s="117"/>
      <c r="K149" s="118"/>
      <c r="L149" s="116"/>
      <c r="M149" s="117"/>
      <c r="N149" s="117"/>
      <c r="O149" s="118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5"/>
      <c r="AB149" s="149"/>
    </row>
    <row r="150" spans="1:28" ht="11.25" customHeight="1" hidden="1">
      <c r="A150" s="304"/>
      <c r="B150" s="299"/>
      <c r="C150" s="300"/>
      <c r="D150" s="116" t="e">
        <f>+IF(AND(N1=1,W25=2,N8=3,I16&lt;=3,V13&lt;3,N10=2),1,0)</f>
        <v>#N/A</v>
      </c>
      <c r="E150" s="117"/>
      <c r="F150" s="117"/>
      <c r="G150" s="118" t="e">
        <f>+IF(AND(N1=2,W25=2,N8=3,I16&lt;=2,V13&lt;3,N10=2),1,0)</f>
        <v>#N/A</v>
      </c>
      <c r="H150" s="116">
        <f>+IF(AND(N8=3,N10=4,I16=0,V13=1),1,0)</f>
        <v>0</v>
      </c>
      <c r="I150" s="117"/>
      <c r="J150" s="117"/>
      <c r="K150" s="118"/>
      <c r="L150" s="116"/>
      <c r="M150" s="117"/>
      <c r="N150" s="117"/>
      <c r="O150" s="118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5"/>
      <c r="AB150" s="149"/>
    </row>
    <row r="151" spans="1:28" ht="11.25" customHeight="1" hidden="1">
      <c r="A151" s="304"/>
      <c r="B151" s="299"/>
      <c r="C151" s="300"/>
      <c r="D151" s="116" t="e">
        <f>+IF(AND(N1=1,W25=2,N8=3,I16&lt;=3,V13&lt;3,N10=3),1,0)</f>
        <v>#N/A</v>
      </c>
      <c r="E151" s="117"/>
      <c r="F151" s="117"/>
      <c r="G151" s="118" t="e">
        <f>+IF(AND(N1=2,W25=2,N8=3,I16&lt;=2,V13&lt;3,N10=3),1,0)</f>
        <v>#N/A</v>
      </c>
      <c r="H151" s="154">
        <f>+IF(AND(S6=2,N8=3,N10=1,I16=0,V13=1),1,0)</f>
        <v>0</v>
      </c>
      <c r="I151" s="117"/>
      <c r="J151" s="117"/>
      <c r="K151" s="118"/>
      <c r="L151" s="116"/>
      <c r="M151" s="117"/>
      <c r="N151" s="117"/>
      <c r="O151" s="118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5"/>
      <c r="AB151" s="149"/>
    </row>
    <row r="152" spans="1:28" ht="11.25" customHeight="1" hidden="1">
      <c r="A152" s="304"/>
      <c r="B152" s="299"/>
      <c r="C152" s="300"/>
      <c r="D152" s="116" t="e">
        <f>+IF(AND(N1=1,W25=2,N8=3,I16&lt;=3,V13&lt;3,N10=4),1,0)</f>
        <v>#N/A</v>
      </c>
      <c r="E152" s="117"/>
      <c r="F152" s="117"/>
      <c r="G152" s="118" t="e">
        <f>+IF(AND(N1=2,W25=2,N8=3,I16&lt;=2,V13&lt;3,N10=4),1,0)</f>
        <v>#N/A</v>
      </c>
      <c r="H152" s="154">
        <f>+IF(AND(S6=2,N8=3,N10=1,I16&gt;=1,V13=1),1,0)</f>
        <v>0</v>
      </c>
      <c r="I152" s="117"/>
      <c r="J152" s="117"/>
      <c r="K152" s="118"/>
      <c r="L152" s="116"/>
      <c r="M152" s="117"/>
      <c r="N152" s="117"/>
      <c r="O152" s="118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5"/>
      <c r="AB152" s="149"/>
    </row>
    <row r="153" spans="1:28" ht="11.25" customHeight="1" hidden="1">
      <c r="A153" s="305"/>
      <c r="B153" s="301"/>
      <c r="C153" s="302"/>
      <c r="D153" s="129" t="e">
        <f>+IF(AND(N1=1,N8=3,M6=2,SUM(D145:D152)=0,$O$25=1),1,0)</f>
        <v>#N/A</v>
      </c>
      <c r="E153" s="130"/>
      <c r="F153" s="130"/>
      <c r="G153" s="131" t="e">
        <f>+IF(AND(N1=2,N8=3,M6=2,SUM(G145:G152)=0,$O$25=1),1,0)</f>
        <v>#N/A</v>
      </c>
      <c r="H153" s="129">
        <f>+IF(AND(N8=3,N10=5,I16&gt;=1),1,0)</f>
        <v>0</v>
      </c>
      <c r="I153" s="130"/>
      <c r="J153" s="130"/>
      <c r="K153" s="131"/>
      <c r="L153" s="129"/>
      <c r="M153" s="130"/>
      <c r="N153" s="130"/>
      <c r="O153" s="131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5"/>
      <c r="AB153" s="149"/>
    </row>
    <row r="154" spans="1:28" ht="11.25" customHeight="1" hidden="1">
      <c r="A154" s="96"/>
      <c r="B154" s="96"/>
      <c r="C154" s="96"/>
      <c r="D154" s="134" t="s">
        <v>22</v>
      </c>
      <c r="E154" s="96"/>
      <c r="F154" s="96">
        <f>+D155+D156+D157+D158+D159</f>
        <v>0</v>
      </c>
      <c r="G154" s="96"/>
      <c r="H154" s="97" t="s">
        <v>24</v>
      </c>
      <c r="I154" s="96"/>
      <c r="J154" s="96">
        <f>+H155+H156+H157+H158+H159+H160+H161+H162+H163+I155</f>
        <v>0</v>
      </c>
      <c r="K154" s="96"/>
      <c r="L154" s="134" t="s">
        <v>33</v>
      </c>
      <c r="M154" s="96"/>
      <c r="N154" s="96">
        <f>+L156+L157+L158+L159+L160+L161+L162</f>
        <v>0</v>
      </c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5"/>
      <c r="AB154" s="149"/>
    </row>
    <row r="155" spans="1:28" ht="11.25" customHeight="1" hidden="1">
      <c r="A155" s="303" t="s">
        <v>86</v>
      </c>
      <c r="B155" s="297" t="s">
        <v>9</v>
      </c>
      <c r="C155" s="298"/>
      <c r="D155" s="150">
        <f>+IF(AND(N8=4,M6=2,$O$25=1),1,0)</f>
        <v>0</v>
      </c>
      <c r="E155" s="151"/>
      <c r="F155" s="151"/>
      <c r="G155" s="152"/>
      <c r="H155" s="150">
        <f>+IF(AND(N8=4,N10=2,I16&gt;=1),1,0)</f>
        <v>0</v>
      </c>
      <c r="I155" s="151">
        <f>+IF(AND(N8=4,N10=5,I16=0,V13=1),1,0)</f>
        <v>0</v>
      </c>
      <c r="J155" s="151"/>
      <c r="K155" s="152"/>
      <c r="L155" s="150">
        <f>+IF(AND(N8=4,F81=1),1,0)</f>
        <v>0</v>
      </c>
      <c r="M155" s="151"/>
      <c r="N155" s="151"/>
      <c r="O155" s="152"/>
      <c r="P155" s="96">
        <f>+IF(AND(D155=1,M6=2,S24=3),1,0)</f>
        <v>0</v>
      </c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5"/>
      <c r="AB155" s="149"/>
    </row>
    <row r="156" spans="1:28" ht="11.25" customHeight="1" hidden="1">
      <c r="A156" s="304"/>
      <c r="B156" s="299"/>
      <c r="C156" s="300"/>
      <c r="D156" s="116"/>
      <c r="E156" s="117"/>
      <c r="F156" s="117"/>
      <c r="G156" s="118"/>
      <c r="H156" s="116">
        <f>+IF(AND(N8=4,N10=2,I16=0,V13=1),1,0)</f>
        <v>0</v>
      </c>
      <c r="I156" s="117"/>
      <c r="J156" s="117"/>
      <c r="K156" s="118"/>
      <c r="L156" s="116"/>
      <c r="M156" s="117"/>
      <c r="N156" s="117"/>
      <c r="O156" s="118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5"/>
      <c r="AB156" s="149"/>
    </row>
    <row r="157" spans="1:28" ht="11.25" customHeight="1" hidden="1">
      <c r="A157" s="304"/>
      <c r="B157" s="299"/>
      <c r="C157" s="300"/>
      <c r="D157" s="116"/>
      <c r="E157" s="117"/>
      <c r="F157" s="117"/>
      <c r="G157" s="118"/>
      <c r="H157" s="116">
        <f>+IF(AND(N8=4,N10=3,I16&gt;=1),1,0)</f>
        <v>0</v>
      </c>
      <c r="I157" s="117"/>
      <c r="J157" s="117"/>
      <c r="K157" s="118"/>
      <c r="L157" s="116"/>
      <c r="M157" s="117"/>
      <c r="N157" s="117"/>
      <c r="O157" s="118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5"/>
      <c r="AB157" s="149"/>
    </row>
    <row r="158" spans="1:28" ht="11.25" customHeight="1" hidden="1">
      <c r="A158" s="304"/>
      <c r="B158" s="299"/>
      <c r="C158" s="300"/>
      <c r="D158" s="116"/>
      <c r="E158" s="117"/>
      <c r="F158" s="117"/>
      <c r="G158" s="118"/>
      <c r="H158" s="116">
        <f>+IF(AND(N8=4,N10=3,I16=0,V13=1),1,0)</f>
        <v>0</v>
      </c>
      <c r="I158" s="117"/>
      <c r="J158" s="117"/>
      <c r="K158" s="118"/>
      <c r="L158" s="116"/>
      <c r="M158" s="117"/>
      <c r="N158" s="117"/>
      <c r="O158" s="118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5"/>
      <c r="AB158" s="149"/>
    </row>
    <row r="159" spans="1:28" ht="11.25" customHeight="1" hidden="1">
      <c r="A159" s="304"/>
      <c r="B159" s="299"/>
      <c r="C159" s="300"/>
      <c r="D159" s="116"/>
      <c r="E159" s="117"/>
      <c r="F159" s="117"/>
      <c r="G159" s="118"/>
      <c r="H159" s="116">
        <f>+IF(AND(N8=4,N10=4,I16&gt;=1),1,0)</f>
        <v>0</v>
      </c>
      <c r="I159" s="117"/>
      <c r="J159" s="117"/>
      <c r="K159" s="118"/>
      <c r="L159" s="116"/>
      <c r="M159" s="117"/>
      <c r="N159" s="117"/>
      <c r="O159" s="118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5"/>
      <c r="AB159" s="149"/>
    </row>
    <row r="160" spans="1:28" ht="11.25" customHeight="1" hidden="1">
      <c r="A160" s="304"/>
      <c r="B160" s="299"/>
      <c r="C160" s="300"/>
      <c r="D160" s="116"/>
      <c r="E160" s="117"/>
      <c r="F160" s="117"/>
      <c r="G160" s="118"/>
      <c r="H160" s="116">
        <f>+IF(AND(N8=4,N10=4,I16=0,V13=1),1,0)</f>
        <v>0</v>
      </c>
      <c r="I160" s="117"/>
      <c r="J160" s="117"/>
      <c r="K160" s="118"/>
      <c r="L160" s="116"/>
      <c r="M160" s="117"/>
      <c r="N160" s="117"/>
      <c r="O160" s="118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5"/>
      <c r="AB160" s="149"/>
    </row>
    <row r="161" spans="1:28" ht="11.25" customHeight="1" hidden="1">
      <c r="A161" s="304"/>
      <c r="B161" s="299"/>
      <c r="C161" s="300"/>
      <c r="D161" s="116"/>
      <c r="E161" s="117"/>
      <c r="F161" s="117"/>
      <c r="G161" s="118"/>
      <c r="H161" s="154">
        <f>+IF(AND(S6=2,N8=4,N10=1,I16=0,V13=1),1,0)</f>
        <v>0</v>
      </c>
      <c r="I161" s="117"/>
      <c r="J161" s="117"/>
      <c r="K161" s="118"/>
      <c r="L161" s="116"/>
      <c r="M161" s="117"/>
      <c r="N161" s="117"/>
      <c r="O161" s="118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5"/>
      <c r="AB161" s="149"/>
    </row>
    <row r="162" spans="1:28" ht="11.25" customHeight="1" hidden="1">
      <c r="A162" s="304"/>
      <c r="B162" s="299"/>
      <c r="C162" s="300"/>
      <c r="D162" s="116"/>
      <c r="E162" s="117"/>
      <c r="F162" s="117"/>
      <c r="G162" s="118"/>
      <c r="H162" s="154">
        <f>+IF(AND(S6=2,N8=4,N10=1,I16&gt;=1,V13=1),1,0)</f>
        <v>0</v>
      </c>
      <c r="I162" s="117"/>
      <c r="J162" s="117"/>
      <c r="K162" s="118"/>
      <c r="L162" s="116"/>
      <c r="M162" s="117"/>
      <c r="N162" s="117"/>
      <c r="O162" s="118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5"/>
      <c r="AB162" s="149"/>
    </row>
    <row r="163" spans="1:28" ht="11.25" customHeight="1" hidden="1">
      <c r="A163" s="305"/>
      <c r="B163" s="301"/>
      <c r="C163" s="302"/>
      <c r="D163" s="129"/>
      <c r="E163" s="130"/>
      <c r="F163" s="130"/>
      <c r="G163" s="131"/>
      <c r="H163" s="129">
        <f>+IF(AND(N8=4,N10=5,I16&gt;=1),1,0)</f>
        <v>0</v>
      </c>
      <c r="I163" s="130"/>
      <c r="J163" s="130"/>
      <c r="K163" s="131"/>
      <c r="L163" s="129"/>
      <c r="M163" s="130"/>
      <c r="N163" s="130"/>
      <c r="O163" s="131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5"/>
      <c r="AB163" s="149"/>
    </row>
    <row r="164" spans="1:28" ht="11.25" customHeight="1" hidden="1">
      <c r="A164" s="96"/>
      <c r="B164" s="96"/>
      <c r="C164" s="96"/>
      <c r="D164" s="134" t="s">
        <v>22</v>
      </c>
      <c r="E164" s="96"/>
      <c r="F164" s="96">
        <f>+D165+D166+D167+D168+D169</f>
        <v>0</v>
      </c>
      <c r="G164" s="96"/>
      <c r="H164" s="97" t="s">
        <v>24</v>
      </c>
      <c r="I164" s="96"/>
      <c r="J164" s="96">
        <f>+H165+H166+H167+H168+H169+H170+H171+H172+H173+I165</f>
        <v>0</v>
      </c>
      <c r="K164" s="96"/>
      <c r="L164" s="134" t="s">
        <v>33</v>
      </c>
      <c r="M164" s="96"/>
      <c r="N164" s="96">
        <f>+L166+L167+L168+L169+L170+L171+L172</f>
        <v>0</v>
      </c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5"/>
      <c r="AB164" s="149"/>
    </row>
    <row r="165" spans="1:28" ht="11.25" customHeight="1" hidden="1">
      <c r="A165" s="303" t="s">
        <v>86</v>
      </c>
      <c r="B165" s="297" t="s">
        <v>10</v>
      </c>
      <c r="C165" s="298"/>
      <c r="D165" s="150">
        <f>+IF(AND(N8=5,M6=2,$O$25=1),1,0)</f>
        <v>0</v>
      </c>
      <c r="E165" s="151"/>
      <c r="F165" s="151"/>
      <c r="G165" s="152"/>
      <c r="H165" s="150">
        <f>+IF(AND(N8=5,N10=2,I16&gt;=1),1,0)</f>
        <v>0</v>
      </c>
      <c r="I165" s="151">
        <f>+IF(AND(N8=5,N10=5,I16=0,V13=1),1,0)</f>
        <v>0</v>
      </c>
      <c r="J165" s="151"/>
      <c r="K165" s="152"/>
      <c r="L165" s="150">
        <f>+IF(AND(N8=5,F91=1),1,0)</f>
        <v>0</v>
      </c>
      <c r="M165" s="151"/>
      <c r="N165" s="151"/>
      <c r="O165" s="152"/>
      <c r="P165" s="96">
        <f>+IF(AND(D165=1,M6=2,S24=3),1,0)</f>
        <v>0</v>
      </c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5"/>
      <c r="AB165" s="149"/>
    </row>
    <row r="166" spans="1:28" ht="11.25" customHeight="1" hidden="1">
      <c r="A166" s="304"/>
      <c r="B166" s="299"/>
      <c r="C166" s="300"/>
      <c r="D166" s="116"/>
      <c r="E166" s="117"/>
      <c r="F166" s="117"/>
      <c r="G166" s="118"/>
      <c r="H166" s="116">
        <f>+IF(AND(N8=5,N10=2,I16=0,V13=1),1,0)</f>
        <v>0</v>
      </c>
      <c r="I166" s="117"/>
      <c r="J166" s="117"/>
      <c r="K166" s="118"/>
      <c r="L166" s="116"/>
      <c r="M166" s="117"/>
      <c r="N166" s="117"/>
      <c r="O166" s="118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5"/>
      <c r="AB166" s="149"/>
    </row>
    <row r="167" spans="1:28" ht="11.25" customHeight="1" hidden="1">
      <c r="A167" s="304"/>
      <c r="B167" s="299"/>
      <c r="C167" s="300"/>
      <c r="D167" s="116"/>
      <c r="E167" s="117"/>
      <c r="F167" s="117"/>
      <c r="G167" s="118"/>
      <c r="H167" s="116">
        <f>+IF(AND(N8=5,N10=3,I16&gt;=1),1,0)</f>
        <v>0</v>
      </c>
      <c r="I167" s="117"/>
      <c r="J167" s="117"/>
      <c r="K167" s="118"/>
      <c r="L167" s="116"/>
      <c r="M167" s="117"/>
      <c r="N167" s="117"/>
      <c r="O167" s="118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5"/>
      <c r="AB167" s="149"/>
    </row>
    <row r="168" spans="1:28" ht="11.25" customHeight="1" hidden="1">
      <c r="A168" s="304"/>
      <c r="B168" s="299"/>
      <c r="C168" s="300"/>
      <c r="D168" s="116"/>
      <c r="E168" s="117"/>
      <c r="F168" s="117"/>
      <c r="G168" s="118"/>
      <c r="H168" s="116">
        <f>+IF(AND(N8=5,N10=3,I16=0,V13=1),1,0)</f>
        <v>0</v>
      </c>
      <c r="I168" s="117"/>
      <c r="J168" s="117"/>
      <c r="K168" s="118"/>
      <c r="L168" s="116"/>
      <c r="M168" s="117"/>
      <c r="N168" s="117"/>
      <c r="O168" s="118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5"/>
      <c r="AB168" s="149"/>
    </row>
    <row r="169" spans="1:28" ht="11.25" customHeight="1" hidden="1">
      <c r="A169" s="304"/>
      <c r="B169" s="299"/>
      <c r="C169" s="300"/>
      <c r="D169" s="116"/>
      <c r="E169" s="117"/>
      <c r="F169" s="117"/>
      <c r="G169" s="118"/>
      <c r="H169" s="116">
        <f>+IF(AND(N8=5,N10=4,I16&gt;=1),1,0)</f>
        <v>0</v>
      </c>
      <c r="I169" s="117"/>
      <c r="J169" s="117"/>
      <c r="K169" s="118"/>
      <c r="L169" s="116"/>
      <c r="M169" s="117"/>
      <c r="N169" s="117"/>
      <c r="O169" s="118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5"/>
      <c r="AB169" s="149"/>
    </row>
    <row r="170" spans="1:28" ht="11.25" customHeight="1" hidden="1">
      <c r="A170" s="304"/>
      <c r="B170" s="299"/>
      <c r="C170" s="300"/>
      <c r="D170" s="116"/>
      <c r="E170" s="117"/>
      <c r="F170" s="117"/>
      <c r="G170" s="118"/>
      <c r="H170" s="116">
        <f>+IF(AND(N8=5,N10=4,I16=0,V13=1),1,0)</f>
        <v>0</v>
      </c>
      <c r="I170" s="117"/>
      <c r="J170" s="117"/>
      <c r="K170" s="118"/>
      <c r="L170" s="116"/>
      <c r="M170" s="117"/>
      <c r="N170" s="117"/>
      <c r="O170" s="118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5"/>
      <c r="AB170" s="149"/>
    </row>
    <row r="171" spans="1:28" ht="11.25" customHeight="1" hidden="1">
      <c r="A171" s="304"/>
      <c r="B171" s="299"/>
      <c r="C171" s="300"/>
      <c r="D171" s="116"/>
      <c r="E171" s="117"/>
      <c r="F171" s="117"/>
      <c r="G171" s="118"/>
      <c r="H171" s="154">
        <f>+IF(AND(S6=2,N8=5,N10=1,I16=0,V13=1),1,0)</f>
        <v>0</v>
      </c>
      <c r="I171" s="117"/>
      <c r="J171" s="117"/>
      <c r="K171" s="118"/>
      <c r="L171" s="116"/>
      <c r="M171" s="117"/>
      <c r="N171" s="117"/>
      <c r="O171" s="118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5"/>
      <c r="AB171" s="149"/>
    </row>
    <row r="172" spans="1:28" ht="11.25" customHeight="1" hidden="1">
      <c r="A172" s="304"/>
      <c r="B172" s="299"/>
      <c r="C172" s="300"/>
      <c r="D172" s="116"/>
      <c r="E172" s="117"/>
      <c r="F172" s="117"/>
      <c r="G172" s="118"/>
      <c r="H172" s="154">
        <f>+IF(AND(S6=2,N8=5,N10=1,I16&gt;=1,V13=1),1,0)</f>
        <v>0</v>
      </c>
      <c r="I172" s="117"/>
      <c r="J172" s="117"/>
      <c r="K172" s="118"/>
      <c r="L172" s="116"/>
      <c r="M172" s="117"/>
      <c r="N172" s="117"/>
      <c r="O172" s="118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5"/>
      <c r="AB172" s="149"/>
    </row>
    <row r="173" spans="1:28" ht="11.25" customHeight="1" hidden="1">
      <c r="A173" s="305"/>
      <c r="B173" s="301"/>
      <c r="C173" s="302"/>
      <c r="D173" s="129"/>
      <c r="E173" s="130"/>
      <c r="F173" s="130"/>
      <c r="G173" s="131"/>
      <c r="H173" s="129">
        <f>+IF(AND(N8=5,N10=5,I16&gt;=1),1,0)</f>
        <v>0</v>
      </c>
      <c r="I173" s="130"/>
      <c r="J173" s="130"/>
      <c r="K173" s="131"/>
      <c r="L173" s="129"/>
      <c r="M173" s="130"/>
      <c r="N173" s="130"/>
      <c r="O173" s="131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5"/>
      <c r="AB173" s="149"/>
    </row>
    <row r="174" spans="1:28" ht="11.25" customHeight="1" hidden="1">
      <c r="A174" s="96"/>
      <c r="B174" s="96"/>
      <c r="C174" s="96"/>
      <c r="D174" s="134" t="s">
        <v>22</v>
      </c>
      <c r="E174" s="96"/>
      <c r="F174" s="96">
        <f>+D175+D176+D177+D178+D179</f>
        <v>0</v>
      </c>
      <c r="G174" s="96"/>
      <c r="H174" s="97" t="s">
        <v>24</v>
      </c>
      <c r="I174" s="96"/>
      <c r="J174" s="96">
        <f>+H175+H176+H177+H178+H179+H180+H181+H182+H183+I175</f>
        <v>0</v>
      </c>
      <c r="K174" s="96"/>
      <c r="L174" s="134" t="s">
        <v>33</v>
      </c>
      <c r="M174" s="96"/>
      <c r="N174" s="96">
        <f>+L176+L177+L178+L179+L180+L181+L182</f>
        <v>0</v>
      </c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5"/>
      <c r="AB174" s="149"/>
    </row>
    <row r="175" spans="1:28" ht="11.25" customHeight="1" hidden="1">
      <c r="A175" s="303" t="s">
        <v>86</v>
      </c>
      <c r="B175" s="297" t="s">
        <v>11</v>
      </c>
      <c r="C175" s="298"/>
      <c r="D175" s="150">
        <f>+IF(AND(N8=6,M6=2,$O$25=1),1,0)</f>
        <v>0</v>
      </c>
      <c r="E175" s="151"/>
      <c r="F175" s="151"/>
      <c r="G175" s="152"/>
      <c r="H175" s="150">
        <f>+IF(AND(N8=6,N10=2,I16&gt;=1),1,0)</f>
        <v>0</v>
      </c>
      <c r="I175" s="151">
        <f>+IF(AND(N8=6,N10=5,I16=0,V13=1),1,0)</f>
        <v>0</v>
      </c>
      <c r="J175" s="151"/>
      <c r="K175" s="152"/>
      <c r="L175" s="150">
        <f>+IF(AND(N8=6,F101=1),1,0)</f>
        <v>0</v>
      </c>
      <c r="M175" s="151"/>
      <c r="N175" s="151"/>
      <c r="O175" s="152"/>
      <c r="P175" s="96">
        <f>+IF(AND(D175=1,M6=2,S24=3),1,0)</f>
        <v>0</v>
      </c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5"/>
      <c r="AB175" s="149"/>
    </row>
    <row r="176" spans="1:28" ht="11.25" customHeight="1" hidden="1">
      <c r="A176" s="304"/>
      <c r="B176" s="299"/>
      <c r="C176" s="300"/>
      <c r="D176" s="116"/>
      <c r="E176" s="117"/>
      <c r="F176" s="117"/>
      <c r="G176" s="118"/>
      <c r="H176" s="116">
        <f>+IF(AND(N8=6,N10=2,I16=0,V13=1),1,0)</f>
        <v>0</v>
      </c>
      <c r="I176" s="117"/>
      <c r="J176" s="117"/>
      <c r="K176" s="118"/>
      <c r="L176" s="116"/>
      <c r="M176" s="117"/>
      <c r="N176" s="117"/>
      <c r="O176" s="118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5"/>
      <c r="AB176" s="149"/>
    </row>
    <row r="177" spans="1:28" ht="11.25" customHeight="1" hidden="1">
      <c r="A177" s="304"/>
      <c r="B177" s="299"/>
      <c r="C177" s="300"/>
      <c r="D177" s="116"/>
      <c r="E177" s="117"/>
      <c r="F177" s="117"/>
      <c r="G177" s="118"/>
      <c r="H177" s="116">
        <f>+IF(AND(N8=6,N10=3,I16&gt;=1),1,0)</f>
        <v>0</v>
      </c>
      <c r="I177" s="117"/>
      <c r="J177" s="117"/>
      <c r="K177" s="118"/>
      <c r="L177" s="116"/>
      <c r="M177" s="117"/>
      <c r="N177" s="117"/>
      <c r="O177" s="118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5"/>
      <c r="AB177" s="149"/>
    </row>
    <row r="178" spans="1:28" ht="11.25" customHeight="1" hidden="1">
      <c r="A178" s="304"/>
      <c r="B178" s="299"/>
      <c r="C178" s="300"/>
      <c r="D178" s="116"/>
      <c r="E178" s="117"/>
      <c r="F178" s="117"/>
      <c r="G178" s="118"/>
      <c r="H178" s="116">
        <f>+IF(AND(N8=6,N10=3,I16=0,V13=1),1,0)</f>
        <v>0</v>
      </c>
      <c r="I178" s="117"/>
      <c r="J178" s="117"/>
      <c r="K178" s="118"/>
      <c r="L178" s="116"/>
      <c r="M178" s="117"/>
      <c r="N178" s="117"/>
      <c r="O178" s="118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5"/>
      <c r="AB178" s="149"/>
    </row>
    <row r="179" spans="1:28" ht="11.25" customHeight="1" hidden="1">
      <c r="A179" s="304"/>
      <c r="B179" s="299"/>
      <c r="C179" s="300"/>
      <c r="D179" s="116"/>
      <c r="E179" s="117"/>
      <c r="F179" s="117"/>
      <c r="G179" s="118"/>
      <c r="H179" s="116">
        <f>+IF(AND(N8=6,N10=4,I16&gt;=1),1,0)</f>
        <v>0</v>
      </c>
      <c r="I179" s="117"/>
      <c r="J179" s="117"/>
      <c r="K179" s="118"/>
      <c r="L179" s="116"/>
      <c r="M179" s="117"/>
      <c r="N179" s="117"/>
      <c r="O179" s="118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5"/>
      <c r="AB179" s="149"/>
    </row>
    <row r="180" spans="1:28" ht="11.25" customHeight="1" hidden="1">
      <c r="A180" s="304"/>
      <c r="B180" s="299"/>
      <c r="C180" s="300"/>
      <c r="D180" s="116"/>
      <c r="E180" s="117"/>
      <c r="F180" s="117"/>
      <c r="G180" s="118"/>
      <c r="H180" s="116">
        <f>+IF(AND(N8=6,N10=4,I16=0,V13=1),1,0)</f>
        <v>0</v>
      </c>
      <c r="I180" s="117"/>
      <c r="J180" s="117"/>
      <c r="K180" s="118"/>
      <c r="L180" s="116"/>
      <c r="M180" s="117"/>
      <c r="N180" s="117"/>
      <c r="O180" s="118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5"/>
      <c r="AB180" s="149"/>
    </row>
    <row r="181" spans="1:28" ht="11.25" customHeight="1" hidden="1">
      <c r="A181" s="304"/>
      <c r="B181" s="299"/>
      <c r="C181" s="300"/>
      <c r="D181" s="116"/>
      <c r="E181" s="117"/>
      <c r="F181" s="117"/>
      <c r="G181" s="118"/>
      <c r="H181" s="154">
        <f>+IF(AND(S6=2,N8=6,N10=1,I16=0,V13=1),1,0)</f>
        <v>0</v>
      </c>
      <c r="I181" s="117"/>
      <c r="J181" s="117"/>
      <c r="K181" s="118"/>
      <c r="L181" s="116"/>
      <c r="M181" s="117"/>
      <c r="N181" s="117"/>
      <c r="O181" s="118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5"/>
      <c r="AB181" s="149"/>
    </row>
    <row r="182" spans="1:28" ht="11.25" customHeight="1" hidden="1">
      <c r="A182" s="304"/>
      <c r="B182" s="299"/>
      <c r="C182" s="300"/>
      <c r="D182" s="116"/>
      <c r="E182" s="117"/>
      <c r="F182" s="117"/>
      <c r="G182" s="118"/>
      <c r="H182" s="154">
        <f>+IF(AND(S6=2,N8=6,N10=1,I16&gt;=1,V13=1),1,0)</f>
        <v>0</v>
      </c>
      <c r="I182" s="117"/>
      <c r="J182" s="117"/>
      <c r="K182" s="118"/>
      <c r="L182" s="116"/>
      <c r="M182" s="117"/>
      <c r="N182" s="117"/>
      <c r="O182" s="118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5"/>
      <c r="AB182" s="149"/>
    </row>
    <row r="183" spans="1:28" ht="11.25" customHeight="1" hidden="1">
      <c r="A183" s="305"/>
      <c r="B183" s="301"/>
      <c r="C183" s="302"/>
      <c r="D183" s="129"/>
      <c r="E183" s="130"/>
      <c r="F183" s="130"/>
      <c r="G183" s="131"/>
      <c r="H183" s="129">
        <f>+IF(AND(N8=6,N10=5,I16&gt;=1),1,0)</f>
        <v>0</v>
      </c>
      <c r="I183" s="130"/>
      <c r="J183" s="130"/>
      <c r="K183" s="131"/>
      <c r="L183" s="129"/>
      <c r="M183" s="130"/>
      <c r="N183" s="130"/>
      <c r="O183" s="131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5"/>
      <c r="AB183" s="149"/>
    </row>
    <row r="184" spans="1:28" ht="11.25" customHeight="1" hidden="1">
      <c r="A184" s="96"/>
      <c r="B184" s="96"/>
      <c r="C184" s="96"/>
      <c r="D184" s="134" t="s">
        <v>22</v>
      </c>
      <c r="E184" s="96"/>
      <c r="F184" s="96">
        <f>+D185+D186+D187+D188+D189</f>
        <v>0</v>
      </c>
      <c r="G184" s="96"/>
      <c r="H184" s="97" t="s">
        <v>24</v>
      </c>
      <c r="I184" s="96"/>
      <c r="J184" s="96">
        <f>+H185+H186+H187+H188+H189+H190+H191+H192</f>
        <v>0</v>
      </c>
      <c r="K184" s="96"/>
      <c r="L184" s="134" t="s">
        <v>33</v>
      </c>
      <c r="M184" s="96"/>
      <c r="N184" s="96">
        <f>+L185+L186+L187+L188+L189+L190+L191+L192</f>
        <v>0</v>
      </c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5"/>
      <c r="AB184" s="149"/>
    </row>
    <row r="185" spans="1:28" ht="11.25" customHeight="1" hidden="1">
      <c r="A185" s="303" t="s">
        <v>86</v>
      </c>
      <c r="B185" s="297" t="s">
        <v>79</v>
      </c>
      <c r="C185" s="298"/>
      <c r="D185" s="150">
        <f>+IF(N8=8,1,0)</f>
        <v>0</v>
      </c>
      <c r="E185" s="151"/>
      <c r="F185" s="151"/>
      <c r="G185" s="152"/>
      <c r="H185" s="150">
        <f>+IF(N8=8,1,0)</f>
        <v>0</v>
      </c>
      <c r="I185" s="151"/>
      <c r="J185" s="151"/>
      <c r="K185" s="152"/>
      <c r="L185" s="150">
        <f>+IF(N8=8,1,0)</f>
        <v>0</v>
      </c>
      <c r="M185" s="151"/>
      <c r="N185" s="151"/>
      <c r="O185" s="152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5"/>
      <c r="AB185" s="149"/>
    </row>
    <row r="186" spans="1:28" ht="11.25" customHeight="1" hidden="1">
      <c r="A186" s="304"/>
      <c r="B186" s="299"/>
      <c r="C186" s="300"/>
      <c r="D186" s="116"/>
      <c r="E186" s="117"/>
      <c r="F186" s="117"/>
      <c r="G186" s="118"/>
      <c r="H186" s="116"/>
      <c r="I186" s="117"/>
      <c r="J186" s="117"/>
      <c r="K186" s="118"/>
      <c r="L186" s="116"/>
      <c r="M186" s="117"/>
      <c r="N186" s="117"/>
      <c r="O186" s="118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5"/>
      <c r="AB186" s="149"/>
    </row>
    <row r="187" spans="1:28" ht="11.25" customHeight="1" hidden="1">
      <c r="A187" s="304"/>
      <c r="B187" s="299"/>
      <c r="C187" s="300"/>
      <c r="D187" s="116"/>
      <c r="E187" s="117"/>
      <c r="F187" s="117"/>
      <c r="G187" s="118"/>
      <c r="H187" s="116"/>
      <c r="I187" s="117"/>
      <c r="J187" s="117"/>
      <c r="K187" s="118"/>
      <c r="L187" s="116"/>
      <c r="M187" s="117"/>
      <c r="N187" s="117"/>
      <c r="O187" s="118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5"/>
      <c r="AB187" s="149"/>
    </row>
    <row r="188" spans="1:28" ht="11.25" customHeight="1" hidden="1">
      <c r="A188" s="304"/>
      <c r="B188" s="299"/>
      <c r="C188" s="300"/>
      <c r="D188" s="116"/>
      <c r="E188" s="117"/>
      <c r="F188" s="117"/>
      <c r="G188" s="118"/>
      <c r="H188" s="116"/>
      <c r="I188" s="117"/>
      <c r="J188" s="117"/>
      <c r="K188" s="118"/>
      <c r="L188" s="116"/>
      <c r="M188" s="117"/>
      <c r="N188" s="117"/>
      <c r="O188" s="118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5"/>
      <c r="AB188" s="149"/>
    </row>
    <row r="189" spans="1:28" ht="11.25" customHeight="1" hidden="1">
      <c r="A189" s="304"/>
      <c r="B189" s="299"/>
      <c r="C189" s="300"/>
      <c r="D189" s="116"/>
      <c r="E189" s="117"/>
      <c r="F189" s="117"/>
      <c r="G189" s="118"/>
      <c r="H189" s="116"/>
      <c r="I189" s="117"/>
      <c r="J189" s="117"/>
      <c r="K189" s="118"/>
      <c r="L189" s="116"/>
      <c r="M189" s="117"/>
      <c r="N189" s="117"/>
      <c r="O189" s="118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5"/>
      <c r="AB189" s="149"/>
    </row>
    <row r="190" spans="1:28" ht="11.25" customHeight="1" hidden="1">
      <c r="A190" s="304"/>
      <c r="B190" s="299"/>
      <c r="C190" s="300"/>
      <c r="D190" s="116"/>
      <c r="E190" s="117"/>
      <c r="F190" s="117"/>
      <c r="G190" s="118"/>
      <c r="H190" s="116"/>
      <c r="I190" s="117"/>
      <c r="J190" s="117"/>
      <c r="K190" s="118"/>
      <c r="L190" s="116"/>
      <c r="M190" s="117"/>
      <c r="N190" s="117"/>
      <c r="O190" s="118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5"/>
      <c r="AB190" s="149"/>
    </row>
    <row r="191" spans="1:28" ht="11.25" customHeight="1" hidden="1">
      <c r="A191" s="304"/>
      <c r="B191" s="299"/>
      <c r="C191" s="300"/>
      <c r="D191" s="116"/>
      <c r="E191" s="117"/>
      <c r="F191" s="117"/>
      <c r="G191" s="118"/>
      <c r="H191" s="116"/>
      <c r="I191" s="117"/>
      <c r="J191" s="117"/>
      <c r="K191" s="118"/>
      <c r="L191" s="116"/>
      <c r="M191" s="117"/>
      <c r="N191" s="117"/>
      <c r="O191" s="118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5"/>
      <c r="AB191" s="149"/>
    </row>
    <row r="192" spans="1:28" ht="11.25" customHeight="1" hidden="1">
      <c r="A192" s="304"/>
      <c r="B192" s="299"/>
      <c r="C192" s="300"/>
      <c r="D192" s="116"/>
      <c r="E192" s="117"/>
      <c r="F192" s="117"/>
      <c r="G192" s="118"/>
      <c r="H192" s="116"/>
      <c r="I192" s="117"/>
      <c r="J192" s="117"/>
      <c r="K192" s="118"/>
      <c r="L192" s="116"/>
      <c r="M192" s="117"/>
      <c r="N192" s="117"/>
      <c r="O192" s="118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5"/>
      <c r="AB192" s="149"/>
    </row>
    <row r="193" spans="1:28" ht="11.25" customHeight="1" hidden="1">
      <c r="A193" s="305"/>
      <c r="B193" s="301"/>
      <c r="C193" s="302"/>
      <c r="D193" s="129"/>
      <c r="E193" s="130"/>
      <c r="F193" s="130"/>
      <c r="G193" s="131"/>
      <c r="H193" s="129"/>
      <c r="I193" s="130"/>
      <c r="J193" s="130"/>
      <c r="K193" s="131"/>
      <c r="L193" s="129"/>
      <c r="M193" s="130"/>
      <c r="N193" s="130"/>
      <c r="O193" s="131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5"/>
      <c r="AB193" s="149"/>
    </row>
    <row r="194" spans="1:28" ht="11.25" customHeight="1" hidden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5"/>
      <c r="AB194" s="149"/>
    </row>
    <row r="195" spans="1:28" ht="11.25" customHeight="1" hidden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5"/>
      <c r="AB195" s="149"/>
    </row>
    <row r="196" spans="1:28" ht="11.25" customHeight="1" hidden="1">
      <c r="A196" s="96"/>
      <c r="B196" s="96"/>
      <c r="C196" s="96"/>
      <c r="D196" s="96"/>
      <c r="E196" s="96"/>
      <c r="F196" s="96">
        <f>+IF(M6=3,F197+F207+F217+F227+F237+F247+F257,F269)</f>
        <v>0</v>
      </c>
      <c r="G196" s="96"/>
      <c r="H196" s="96"/>
      <c r="I196" s="96"/>
      <c r="J196" s="96">
        <f>+IF(M6=3,J197+J207+J217+J227+J237+J247+J257,J269)</f>
        <v>0</v>
      </c>
      <c r="K196" s="96"/>
      <c r="L196" s="96"/>
      <c r="M196" s="96"/>
      <c r="N196" s="96">
        <f>+IF(M6=3,N197+N207+N217+N227+N237+N247+N257,N269)</f>
        <v>0</v>
      </c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5"/>
      <c r="AB196" s="149"/>
    </row>
    <row r="197" spans="1:28" ht="11.25" customHeight="1" hidden="1">
      <c r="A197" s="96"/>
      <c r="B197" s="96"/>
      <c r="C197" s="96"/>
      <c r="D197" s="134" t="s">
        <v>22</v>
      </c>
      <c r="E197" s="96"/>
      <c r="F197" s="96" t="e">
        <f>+D198+D199+D200+D201+D202+G198+G199+G200+G201+G202</f>
        <v>#N/A</v>
      </c>
      <c r="G197" s="96"/>
      <c r="H197" s="97" t="s">
        <v>24</v>
      </c>
      <c r="I197" s="96"/>
      <c r="J197" s="96">
        <f>+H198+H199+H200+H201+H202+H203+H204+H205+H206+I198</f>
        <v>0</v>
      </c>
      <c r="K197" s="96"/>
      <c r="L197" s="134" t="s">
        <v>33</v>
      </c>
      <c r="M197" s="96"/>
      <c r="N197" s="96">
        <f>+L199+L200+L201+L202+L203+L204+L205</f>
        <v>0</v>
      </c>
      <c r="O197" s="96"/>
      <c r="P197" s="96" t="s">
        <v>34</v>
      </c>
      <c r="Q197" s="96"/>
      <c r="R197" s="96">
        <f>+P198+P199+P200+P201+P202+P203+P204+P205</f>
        <v>0</v>
      </c>
      <c r="S197" s="96"/>
      <c r="T197" s="96"/>
      <c r="U197" s="96"/>
      <c r="V197" s="96"/>
      <c r="W197" s="96"/>
      <c r="X197" s="96"/>
      <c r="Y197" s="96"/>
      <c r="Z197" s="96"/>
      <c r="AA197" s="95"/>
      <c r="AB197" s="149"/>
    </row>
    <row r="198" spans="1:28" ht="11.25" customHeight="1" hidden="1">
      <c r="A198" s="303" t="s">
        <v>111</v>
      </c>
      <c r="B198" s="297" t="s">
        <v>6</v>
      </c>
      <c r="C198" s="298"/>
      <c r="D198" s="150" t="e">
        <f>+IF(AND(N1=1,W25&lt;3,N8=1,N10=2,I16&lt;=10),1,0)</f>
        <v>#N/A</v>
      </c>
      <c r="E198" s="151"/>
      <c r="F198" s="151"/>
      <c r="G198" s="152" t="e">
        <f>+IF(AND(N1=2,W25&lt;3,N8=1,N10=2,I16&lt;=5),1,0)</f>
        <v>#N/A</v>
      </c>
      <c r="H198" s="150">
        <f>+IF(AND(N8=1,N10=2,I16&gt;=1),1,0)</f>
        <v>0</v>
      </c>
      <c r="I198" s="151">
        <f>+IF(AND(N8=1,N10=5,I16=0,V13=1),1,0)</f>
        <v>0</v>
      </c>
      <c r="J198" s="151"/>
      <c r="K198" s="152"/>
      <c r="L198" s="150">
        <f>+IF(AND(N8=1,V13=1),1,0)</f>
        <v>0</v>
      </c>
      <c r="M198" s="151"/>
      <c r="N198" s="151"/>
      <c r="O198" s="152"/>
      <c r="P198" s="150">
        <f>+IF(AND(D33="Tradicional",N10=4),1,0)</f>
        <v>0</v>
      </c>
      <c r="Q198" s="151"/>
      <c r="R198" s="151"/>
      <c r="S198" s="152"/>
      <c r="T198" s="96"/>
      <c r="U198" s="96"/>
      <c r="V198" s="96"/>
      <c r="W198" s="96"/>
      <c r="X198" s="96"/>
      <c r="Y198" s="96"/>
      <c r="Z198" s="96"/>
      <c r="AA198" s="95"/>
      <c r="AB198" s="149"/>
    </row>
    <row r="199" spans="1:28" ht="11.25" customHeight="1" hidden="1">
      <c r="A199" s="304"/>
      <c r="B199" s="299"/>
      <c r="C199" s="300"/>
      <c r="D199" s="116" t="e">
        <f>+IF(AND(N1=1,W25&lt;3,N8=1,N10=3,I16&lt;=10),1,0)</f>
        <v>#N/A</v>
      </c>
      <c r="E199" s="117"/>
      <c r="F199" s="117"/>
      <c r="G199" s="118" t="e">
        <f>+IF(AND(N1=2,W25&lt;3,N8=1,N10=3,I16&lt;=5),1,0)</f>
        <v>#N/A</v>
      </c>
      <c r="H199" s="116">
        <f>+IF(AND(N8=1,N10=2,I16=0,V13=1),1,0)</f>
        <v>0</v>
      </c>
      <c r="I199" s="117"/>
      <c r="J199" s="117"/>
      <c r="K199" s="118"/>
      <c r="L199" s="116"/>
      <c r="M199" s="117"/>
      <c r="N199" s="117"/>
      <c r="O199" s="118"/>
      <c r="P199" s="116">
        <f>+IF(AND(D33="Tradicional",N10=5),1,0)</f>
        <v>0</v>
      </c>
      <c r="Q199" s="117"/>
      <c r="R199" s="117"/>
      <c r="S199" s="118"/>
      <c r="T199" s="96"/>
      <c r="U199" s="96"/>
      <c r="V199" s="96"/>
      <c r="W199" s="96"/>
      <c r="X199" s="96"/>
      <c r="Y199" s="96"/>
      <c r="Z199" s="96"/>
      <c r="AA199" s="95"/>
      <c r="AB199" s="149"/>
    </row>
    <row r="200" spans="1:28" ht="11.25" customHeight="1" hidden="1">
      <c r="A200" s="304"/>
      <c r="B200" s="299"/>
      <c r="C200" s="300"/>
      <c r="D200" s="116" t="e">
        <f>+IF(AND(N1=1,W25=1,N8=1,N10=1,I16&lt;2),1,0)</f>
        <v>#N/A</v>
      </c>
      <c r="E200" s="117"/>
      <c r="F200" s="117"/>
      <c r="G200" s="118" t="e">
        <f>+IF(AND(N1=2,W25=1,N8=1,N10=1,I16&lt;1),1,0)</f>
        <v>#N/A</v>
      </c>
      <c r="H200" s="116">
        <f>+IF(AND(N8=1,N10=3,I16&gt;=1),1,0)</f>
        <v>0</v>
      </c>
      <c r="I200" s="117"/>
      <c r="J200" s="117"/>
      <c r="K200" s="118"/>
      <c r="L200" s="116"/>
      <c r="M200" s="117"/>
      <c r="N200" s="117"/>
      <c r="O200" s="118"/>
      <c r="P200" s="116"/>
      <c r="Q200" s="117"/>
      <c r="R200" s="117"/>
      <c r="S200" s="118"/>
      <c r="T200" s="96"/>
      <c r="U200" s="96"/>
      <c r="V200" s="96"/>
      <c r="W200" s="96"/>
      <c r="X200" s="96"/>
      <c r="Y200" s="96"/>
      <c r="Z200" s="96"/>
      <c r="AA200" s="95"/>
      <c r="AB200" s="149"/>
    </row>
    <row r="201" spans="1:28" ht="11.25" customHeight="1" hidden="1">
      <c r="A201" s="304"/>
      <c r="B201" s="299"/>
      <c r="C201" s="300"/>
      <c r="D201" s="116" t="e">
        <f>+IF(AND(N1=1,W25=1,N8=1,N10=4,I16&lt;2),1,0)</f>
        <v>#N/A</v>
      </c>
      <c r="E201" s="117"/>
      <c r="F201" s="117"/>
      <c r="G201" s="118" t="e">
        <f>+IF(AND(N1=2,W25=1,N8=1,N10=4,I16&lt;1),1,0)</f>
        <v>#N/A</v>
      </c>
      <c r="H201" s="116">
        <f>+IF(AND(N8=1,N10=3,I16=0,V13=1),1,0)</f>
        <v>0</v>
      </c>
      <c r="I201" s="117"/>
      <c r="J201" s="117"/>
      <c r="K201" s="118"/>
      <c r="L201" s="116"/>
      <c r="M201" s="117"/>
      <c r="N201" s="117"/>
      <c r="O201" s="118"/>
      <c r="P201" s="116"/>
      <c r="Q201" s="117"/>
      <c r="R201" s="117"/>
      <c r="S201" s="118"/>
      <c r="T201" s="96"/>
      <c r="U201" s="96"/>
      <c r="V201" s="96"/>
      <c r="W201" s="96"/>
      <c r="X201" s="96"/>
      <c r="Y201" s="96"/>
      <c r="Z201" s="96"/>
      <c r="AA201" s="95"/>
      <c r="AB201" s="149"/>
    </row>
    <row r="202" spans="1:28" ht="11.25" customHeight="1" hidden="1">
      <c r="A202" s="304"/>
      <c r="B202" s="299"/>
      <c r="C202" s="300"/>
      <c r="D202" s="116" t="e">
        <f>+IF(AND(N1=1,W25=1,N8=1,N10=5,I16&lt;2),1,0)</f>
        <v>#N/A</v>
      </c>
      <c r="E202" s="117"/>
      <c r="F202" s="117"/>
      <c r="G202" s="118" t="e">
        <f>+IF(AND(N1=2,W25=1,N8=1,N10=5,I16&lt;1),1,0)</f>
        <v>#N/A</v>
      </c>
      <c r="H202" s="116">
        <f>+IF(AND(N8=1,N10=4,I16&gt;=1),1,0)</f>
        <v>0</v>
      </c>
      <c r="I202" s="117"/>
      <c r="J202" s="117"/>
      <c r="K202" s="118"/>
      <c r="L202" s="116"/>
      <c r="M202" s="117"/>
      <c r="N202" s="117"/>
      <c r="O202" s="118"/>
      <c r="P202" s="116"/>
      <c r="Q202" s="117"/>
      <c r="R202" s="117"/>
      <c r="S202" s="118"/>
      <c r="T202" s="96"/>
      <c r="U202" s="96"/>
      <c r="V202" s="96"/>
      <c r="W202" s="96"/>
      <c r="X202" s="96"/>
      <c r="Y202" s="96"/>
      <c r="Z202" s="96"/>
      <c r="AA202" s="95"/>
      <c r="AB202" s="149"/>
    </row>
    <row r="203" spans="1:28" ht="11.25" customHeight="1" hidden="1">
      <c r="A203" s="304"/>
      <c r="B203" s="299"/>
      <c r="C203" s="300"/>
      <c r="D203" s="116"/>
      <c r="E203" s="117"/>
      <c r="F203" s="117"/>
      <c r="G203" s="118"/>
      <c r="H203" s="116">
        <f>+IF(AND(N8=1,N10=4,I16=0,V13=1),1,0)</f>
        <v>0</v>
      </c>
      <c r="I203" s="117"/>
      <c r="J203" s="117"/>
      <c r="K203" s="118"/>
      <c r="L203" s="116"/>
      <c r="M203" s="117"/>
      <c r="N203" s="117"/>
      <c r="O203" s="118"/>
      <c r="P203" s="116"/>
      <c r="Q203" s="117"/>
      <c r="R203" s="117"/>
      <c r="S203" s="118"/>
      <c r="T203" s="96"/>
      <c r="U203" s="96"/>
      <c r="V203" s="96"/>
      <c r="W203" s="96"/>
      <c r="X203" s="96"/>
      <c r="Y203" s="96"/>
      <c r="Z203" s="96"/>
      <c r="AA203" s="95"/>
      <c r="AB203" s="149"/>
    </row>
    <row r="204" spans="1:28" ht="11.25" customHeight="1" hidden="1">
      <c r="A204" s="304"/>
      <c r="B204" s="299"/>
      <c r="C204" s="300"/>
      <c r="D204" s="116"/>
      <c r="E204" s="117"/>
      <c r="F204" s="117"/>
      <c r="G204" s="118"/>
      <c r="H204" s="154">
        <f>+IF(AND(S6=2,N8=1,N10=1,I16=0,V13=1),1,0)</f>
        <v>0</v>
      </c>
      <c r="I204" s="117"/>
      <c r="J204" s="117"/>
      <c r="K204" s="118"/>
      <c r="L204" s="116"/>
      <c r="M204" s="117"/>
      <c r="N204" s="117"/>
      <c r="O204" s="118"/>
      <c r="P204" s="116"/>
      <c r="Q204" s="117"/>
      <c r="R204" s="117"/>
      <c r="S204" s="118"/>
      <c r="T204" s="96"/>
      <c r="U204" s="96"/>
      <c r="V204" s="96"/>
      <c r="W204" s="96"/>
      <c r="X204" s="96"/>
      <c r="Y204" s="96"/>
      <c r="Z204" s="96"/>
      <c r="AA204" s="95"/>
      <c r="AB204" s="149"/>
    </row>
    <row r="205" spans="1:28" ht="11.25" customHeight="1" hidden="1">
      <c r="A205" s="304"/>
      <c r="B205" s="299"/>
      <c r="C205" s="300"/>
      <c r="D205" s="116"/>
      <c r="E205" s="117"/>
      <c r="F205" s="117"/>
      <c r="G205" s="118"/>
      <c r="H205" s="154">
        <f>+IF(AND(S6=2,N8=1,N10=1,I16&gt;=1,V13=1),1,0)</f>
        <v>0</v>
      </c>
      <c r="I205" s="117"/>
      <c r="J205" s="117"/>
      <c r="K205" s="118"/>
      <c r="L205" s="116"/>
      <c r="M205" s="117"/>
      <c r="N205" s="117"/>
      <c r="O205" s="118"/>
      <c r="P205" s="116"/>
      <c r="Q205" s="117"/>
      <c r="R205" s="117"/>
      <c r="S205" s="118"/>
      <c r="T205" s="96"/>
      <c r="U205" s="96"/>
      <c r="V205" s="96"/>
      <c r="W205" s="96"/>
      <c r="X205" s="96"/>
      <c r="Y205" s="96"/>
      <c r="Z205" s="96"/>
      <c r="AA205" s="95"/>
      <c r="AB205" s="149"/>
    </row>
    <row r="206" spans="1:28" ht="11.25" customHeight="1" hidden="1">
      <c r="A206" s="305"/>
      <c r="B206" s="301"/>
      <c r="C206" s="302"/>
      <c r="D206" s="129"/>
      <c r="E206" s="130"/>
      <c r="F206" s="130"/>
      <c r="G206" s="131"/>
      <c r="H206" s="129">
        <f>+IF(AND(N8=1,N10=5,I16&gt;=1),1,0)</f>
        <v>0</v>
      </c>
      <c r="I206" s="130"/>
      <c r="J206" s="130"/>
      <c r="K206" s="131"/>
      <c r="L206" s="129"/>
      <c r="M206" s="130"/>
      <c r="N206" s="130"/>
      <c r="O206" s="131"/>
      <c r="P206" s="129"/>
      <c r="Q206" s="130"/>
      <c r="R206" s="130"/>
      <c r="S206" s="130"/>
      <c r="T206" s="96"/>
      <c r="U206" s="96"/>
      <c r="V206" s="96"/>
      <c r="W206" s="96"/>
      <c r="X206" s="96"/>
      <c r="Y206" s="96"/>
      <c r="Z206" s="96"/>
      <c r="AA206" s="95"/>
      <c r="AB206" s="149"/>
    </row>
    <row r="207" spans="1:28" ht="11.25" customHeight="1" hidden="1">
      <c r="A207" s="96"/>
      <c r="B207" s="96"/>
      <c r="C207" s="96"/>
      <c r="D207" s="134" t="s">
        <v>22</v>
      </c>
      <c r="E207" s="96"/>
      <c r="F207" s="96" t="e">
        <f>+D208+D209+D210+D211+D212+G208+G209+G210+G211+G212</f>
        <v>#N/A</v>
      </c>
      <c r="G207" s="96"/>
      <c r="H207" s="97" t="s">
        <v>24</v>
      </c>
      <c r="I207" s="96"/>
      <c r="J207" s="96">
        <f>+H208+H209+H210+H211+H212+H213+H214+H215+H216+I208</f>
        <v>0</v>
      </c>
      <c r="K207" s="96"/>
      <c r="L207" s="134" t="s">
        <v>33</v>
      </c>
      <c r="M207" s="96"/>
      <c r="N207" s="96">
        <f>+L209+L210+L211+L212+L213+L214+L215</f>
        <v>0</v>
      </c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5"/>
      <c r="AB207" s="149"/>
    </row>
    <row r="208" spans="1:28" ht="11.25" customHeight="1" hidden="1">
      <c r="A208" s="303" t="s">
        <v>111</v>
      </c>
      <c r="B208" s="297" t="s">
        <v>7</v>
      </c>
      <c r="C208" s="298"/>
      <c r="D208" s="150" t="e">
        <f>+IF(AND(N1=1,W25&lt;3,N8=2,N10=2,I16&lt;5),1,0)</f>
        <v>#N/A</v>
      </c>
      <c r="E208" s="151"/>
      <c r="F208" s="151"/>
      <c r="G208" s="152" t="e">
        <f>+IF(AND(N1=2,W25&lt;3,N8=2,N10=2,I16&lt;3),1,0)</f>
        <v>#N/A</v>
      </c>
      <c r="H208" s="150">
        <f>+IF(AND(N8=2,N10=2,I16&gt;=1),1,0)</f>
        <v>0</v>
      </c>
      <c r="I208" s="151">
        <f>+IF(AND(N8=2,N10=5,I16=0,V13=1),1,0)</f>
        <v>0</v>
      </c>
      <c r="J208" s="151"/>
      <c r="K208" s="152"/>
      <c r="L208" s="150">
        <f>+IF(AND(N8=2,V13=1),1,0)</f>
        <v>0</v>
      </c>
      <c r="M208" s="151"/>
      <c r="N208" s="151"/>
      <c r="O208" s="152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5"/>
      <c r="AB208" s="149"/>
    </row>
    <row r="209" spans="1:28" ht="11.25" customHeight="1" hidden="1">
      <c r="A209" s="304"/>
      <c r="B209" s="299"/>
      <c r="C209" s="300"/>
      <c r="D209" s="116" t="e">
        <f>+IF(AND(N1=1,W25&lt;3,N8=2,N10=3,I16&lt;5),1,0)</f>
        <v>#N/A</v>
      </c>
      <c r="E209" s="117"/>
      <c r="F209" s="117"/>
      <c r="G209" s="118" t="e">
        <f>+IF(AND(N1=2,W25&lt;3,N8=2,N10=3,I16&lt;3),1,0)</f>
        <v>#N/A</v>
      </c>
      <c r="H209" s="116">
        <f>+IF(AND(N8=2,N10=2,I16=0,V13=1),1,0)</f>
        <v>0</v>
      </c>
      <c r="I209" s="117"/>
      <c r="J209" s="117"/>
      <c r="K209" s="118"/>
      <c r="L209" s="116"/>
      <c r="M209" s="117"/>
      <c r="N209" s="117"/>
      <c r="O209" s="118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5"/>
      <c r="AB209" s="149"/>
    </row>
    <row r="210" spans="1:28" ht="11.25" customHeight="1" hidden="1">
      <c r="A210" s="304"/>
      <c r="B210" s="299"/>
      <c r="C210" s="300"/>
      <c r="D210" s="116" t="e">
        <f>+IF(AND(N1=1,W25=1,N8=2,N10=1,I16&lt;1),1,0)</f>
        <v>#N/A</v>
      </c>
      <c r="E210" s="117"/>
      <c r="F210" s="117"/>
      <c r="G210" s="118" t="e">
        <f>+IF(AND(N1=2,W25=1,N8=2,N10=1,I16&lt;1),1,0)</f>
        <v>#N/A</v>
      </c>
      <c r="H210" s="116">
        <f>+IF(AND(N8=2,N10=3,I16&gt;=1),1,0)</f>
        <v>0</v>
      </c>
      <c r="I210" s="117"/>
      <c r="J210" s="117"/>
      <c r="K210" s="118"/>
      <c r="L210" s="116"/>
      <c r="M210" s="117"/>
      <c r="N210" s="117"/>
      <c r="O210" s="118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5"/>
      <c r="AB210" s="149"/>
    </row>
    <row r="211" spans="1:28" ht="11.25" customHeight="1" hidden="1">
      <c r="A211" s="304"/>
      <c r="B211" s="299"/>
      <c r="C211" s="300"/>
      <c r="D211" s="116" t="e">
        <f>+IF(AND(N1=1,W25=1,N8=2,N10=4,I16&lt;1),1,0)</f>
        <v>#N/A</v>
      </c>
      <c r="E211" s="117"/>
      <c r="F211" s="117"/>
      <c r="G211" s="118" t="e">
        <f>+IF(AND(N1=2,W25=1,N8=2,N10=4,I16&lt;1),1,0)</f>
        <v>#N/A</v>
      </c>
      <c r="H211" s="116">
        <f>+IF(AND(N8=2,N10=3,I16=0,V13=1),1,0)</f>
        <v>0</v>
      </c>
      <c r="I211" s="117"/>
      <c r="J211" s="117"/>
      <c r="K211" s="118"/>
      <c r="L211" s="116"/>
      <c r="M211" s="117"/>
      <c r="N211" s="117"/>
      <c r="O211" s="118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5"/>
      <c r="AB211" s="149"/>
    </row>
    <row r="212" spans="1:28" ht="11.25" customHeight="1" hidden="1">
      <c r="A212" s="304"/>
      <c r="B212" s="299"/>
      <c r="C212" s="300"/>
      <c r="D212" s="116" t="e">
        <f>+IF(AND(N1=1,W25=1,N8=2,N10=5,I16&lt;1),1,0)</f>
        <v>#N/A</v>
      </c>
      <c r="E212" s="117"/>
      <c r="F212" s="117"/>
      <c r="G212" s="118" t="e">
        <f>+IF(AND(N1=2,W25=1,N8=2,N10=5,I16&lt;1),1,0)</f>
        <v>#N/A</v>
      </c>
      <c r="H212" s="116">
        <f>+IF(AND(N8=2,N10=4,I16&gt;=1),1,0)</f>
        <v>0</v>
      </c>
      <c r="I212" s="117"/>
      <c r="J212" s="117"/>
      <c r="K212" s="118"/>
      <c r="L212" s="116"/>
      <c r="M212" s="117"/>
      <c r="N212" s="117"/>
      <c r="O212" s="118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5"/>
      <c r="AB212" s="149"/>
    </row>
    <row r="213" spans="1:28" ht="11.25" customHeight="1" hidden="1">
      <c r="A213" s="304"/>
      <c r="B213" s="299"/>
      <c r="C213" s="300"/>
      <c r="D213" s="116"/>
      <c r="E213" s="117"/>
      <c r="F213" s="117"/>
      <c r="G213" s="118"/>
      <c r="H213" s="116">
        <f>+IF(AND(N8=2,N10=4,I16=0,V13=1),1,0)</f>
        <v>0</v>
      </c>
      <c r="I213" s="117"/>
      <c r="J213" s="117"/>
      <c r="K213" s="118"/>
      <c r="L213" s="116"/>
      <c r="M213" s="117"/>
      <c r="N213" s="117"/>
      <c r="O213" s="118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5"/>
      <c r="AB213" s="149"/>
    </row>
    <row r="214" spans="1:28" ht="11.25" customHeight="1" hidden="1">
      <c r="A214" s="304"/>
      <c r="B214" s="299"/>
      <c r="C214" s="300"/>
      <c r="D214" s="116"/>
      <c r="E214" s="117"/>
      <c r="F214" s="117"/>
      <c r="G214" s="118"/>
      <c r="H214" s="154">
        <f>+IF(AND(S6=2,N8=2,N10=1,I16=0,V13=1),1,0)</f>
        <v>0</v>
      </c>
      <c r="I214" s="117"/>
      <c r="J214" s="117"/>
      <c r="K214" s="118"/>
      <c r="L214" s="116"/>
      <c r="M214" s="117"/>
      <c r="N214" s="117"/>
      <c r="O214" s="118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5"/>
      <c r="AB214" s="149"/>
    </row>
    <row r="215" spans="1:28" ht="11.25" customHeight="1" hidden="1">
      <c r="A215" s="304"/>
      <c r="B215" s="299"/>
      <c r="C215" s="300"/>
      <c r="D215" s="116"/>
      <c r="E215" s="117"/>
      <c r="F215" s="117"/>
      <c r="G215" s="118"/>
      <c r="H215" s="154">
        <f>+IF(AND(S6=2,N8=2,N10=1,I16&gt;=1,V13=1),1,0)</f>
        <v>0</v>
      </c>
      <c r="I215" s="117"/>
      <c r="J215" s="117"/>
      <c r="K215" s="118"/>
      <c r="L215" s="116"/>
      <c r="M215" s="117"/>
      <c r="N215" s="117"/>
      <c r="O215" s="118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5"/>
      <c r="AB215" s="149"/>
    </row>
    <row r="216" spans="1:28" ht="11.25" customHeight="1" hidden="1">
      <c r="A216" s="305"/>
      <c r="B216" s="301"/>
      <c r="C216" s="302"/>
      <c r="D216" s="129"/>
      <c r="E216" s="130"/>
      <c r="F216" s="130"/>
      <c r="G216" s="131"/>
      <c r="H216" s="129">
        <f>+IF(AND(N8=2,N10=5,I16&gt;=1),1,0)</f>
        <v>0</v>
      </c>
      <c r="I216" s="130"/>
      <c r="J216" s="130"/>
      <c r="K216" s="131"/>
      <c r="L216" s="129"/>
      <c r="M216" s="130"/>
      <c r="N216" s="130"/>
      <c r="O216" s="131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5"/>
      <c r="AB216" s="149"/>
    </row>
    <row r="217" spans="1:28" ht="11.25" customHeight="1" hidden="1">
      <c r="A217" s="96"/>
      <c r="B217" s="96"/>
      <c r="C217" s="96"/>
      <c r="D217" s="134" t="s">
        <v>22</v>
      </c>
      <c r="E217" s="96"/>
      <c r="F217" s="96" t="e">
        <f>+D218+D219+D220+D221+D222+D225+G218+G219+G220+G221+G222</f>
        <v>#N/A</v>
      </c>
      <c r="G217" s="96"/>
      <c r="H217" s="97" t="s">
        <v>24</v>
      </c>
      <c r="I217" s="96"/>
      <c r="J217" s="96">
        <f>+H218+H219+H220+H221+H222+H223+H224+H225+H226+I218</f>
        <v>0</v>
      </c>
      <c r="K217" s="96"/>
      <c r="L217" s="134" t="s">
        <v>33</v>
      </c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5"/>
      <c r="AB217" s="149"/>
    </row>
    <row r="218" spans="1:28" ht="11.25" customHeight="1" hidden="1">
      <c r="A218" s="303" t="s">
        <v>111</v>
      </c>
      <c r="B218" s="297" t="s">
        <v>8</v>
      </c>
      <c r="C218" s="298"/>
      <c r="D218" s="150" t="e">
        <f>+IF(AND(N1=1,W25=1,N8=3,N10=2,I16&lt;=1,V13&lt;2,P13=1),1,0)</f>
        <v>#N/A</v>
      </c>
      <c r="E218" s="151"/>
      <c r="F218" s="151"/>
      <c r="G218" s="152" t="e">
        <f>+IF(AND(N1=2,W25=1,N8=3,N10=2,I16&lt;=1,V13&lt;2,P13=1),1,0)</f>
        <v>#N/A</v>
      </c>
      <c r="H218" s="150">
        <f>+IF(AND(N8=3,N10=2,I16&gt;=1),1,0)</f>
        <v>0</v>
      </c>
      <c r="I218" s="151">
        <f>+IF(AND(N8=3,N10=5,I16=0,V13=1),1,0)</f>
        <v>0</v>
      </c>
      <c r="J218" s="151"/>
      <c r="K218" s="152"/>
      <c r="L218" s="150">
        <f>+IF(AND(N8=3,V13=1,I16&gt;=1),1,0)</f>
        <v>0</v>
      </c>
      <c r="M218" s="151"/>
      <c r="N218" s="151"/>
      <c r="O218" s="152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5"/>
      <c r="AB218" s="149"/>
    </row>
    <row r="219" spans="1:28" ht="11.25" customHeight="1" hidden="1">
      <c r="A219" s="304"/>
      <c r="B219" s="299"/>
      <c r="C219" s="300"/>
      <c r="D219" s="116" t="e">
        <f>+IF(AND(N1=1,W25=1,N8=3,N10=3,I16&lt;=1,V13&lt;2,P13=1),1,0)</f>
        <v>#N/A</v>
      </c>
      <c r="E219" s="117"/>
      <c r="F219" s="117"/>
      <c r="G219" s="118" t="e">
        <f>+IF(AND(N1=2,W25=1,N8=3,N10=3,I16&lt;=1,V13&lt;2,P13=1),1,0)</f>
        <v>#N/A</v>
      </c>
      <c r="H219" s="116">
        <f>+IF(AND(N8=3,N10=2,I16=0,V13=1),1,0)</f>
        <v>0</v>
      </c>
      <c r="I219" s="117"/>
      <c r="J219" s="117"/>
      <c r="K219" s="118"/>
      <c r="L219" s="116"/>
      <c r="M219" s="117"/>
      <c r="N219" s="117"/>
      <c r="O219" s="118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5"/>
      <c r="AB219" s="149"/>
    </row>
    <row r="220" spans="1:28" ht="11.25" customHeight="1" hidden="1">
      <c r="A220" s="304"/>
      <c r="B220" s="299"/>
      <c r="C220" s="300"/>
      <c r="D220" s="116" t="e">
        <f>+IF(AND(N1=1,W25=1,N8=3,N10=1,I16&lt;2,V13=1,P13=1),1,0)</f>
        <v>#N/A</v>
      </c>
      <c r="E220" s="117"/>
      <c r="F220" s="117"/>
      <c r="G220" s="118" t="e">
        <f>+IF(AND(N1=2,W25=1,N8=3,N10=1,I16&lt;1,V13=1,P13=1),1,0)</f>
        <v>#N/A</v>
      </c>
      <c r="H220" s="116">
        <f>+IF(AND(N8=3,N10=3,I16&gt;=1),1,0)</f>
        <v>0</v>
      </c>
      <c r="I220" s="117"/>
      <c r="J220" s="117"/>
      <c r="K220" s="118"/>
      <c r="L220" s="116"/>
      <c r="M220" s="117"/>
      <c r="N220" s="117"/>
      <c r="O220" s="118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5"/>
      <c r="AB220" s="149"/>
    </row>
    <row r="221" spans="1:28" ht="11.25" customHeight="1" hidden="1">
      <c r="A221" s="304"/>
      <c r="B221" s="299"/>
      <c r="C221" s="300"/>
      <c r="D221" s="116" t="e">
        <f>+IF(AND(N1=1,W25=1,N8=3,N10=4,I16&lt;1,V13&lt;2,P13=1),1,0)</f>
        <v>#N/A</v>
      </c>
      <c r="E221" s="117"/>
      <c r="F221" s="117"/>
      <c r="G221" s="118" t="e">
        <f>+IF(AND(N1=2,W25=1,N8=3,N10=4,I16&lt;1,V13&lt;2,P13=1),1,0)</f>
        <v>#N/A</v>
      </c>
      <c r="H221" s="116">
        <f>+IF(AND(N8=3,N10=3,I16=0,V13=1),1,0)</f>
        <v>0</v>
      </c>
      <c r="I221" s="117"/>
      <c r="J221" s="117"/>
      <c r="K221" s="118"/>
      <c r="L221" s="116"/>
      <c r="M221" s="117"/>
      <c r="N221" s="117"/>
      <c r="O221" s="118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5"/>
      <c r="AB221" s="149"/>
    </row>
    <row r="222" spans="1:28" ht="11.25" customHeight="1" hidden="1">
      <c r="A222" s="304"/>
      <c r="B222" s="299"/>
      <c r="C222" s="300"/>
      <c r="D222" s="116" t="e">
        <f>+IF(AND(N1=1,W25=1,N8=3,N10=5,I16&lt;1,V13&lt;2,P13=1),1,0)</f>
        <v>#N/A</v>
      </c>
      <c r="E222" s="117"/>
      <c r="F222" s="117"/>
      <c r="G222" s="118" t="e">
        <f>+IF(AND(N1=2,W25=1,N8=3,N10=5,I16&lt;1,V13&lt;2,P13=1),1,0)</f>
        <v>#N/A</v>
      </c>
      <c r="H222" s="116">
        <f>+IF(AND(N8=3,N10=4,I16&gt;=1),1,0)</f>
        <v>0</v>
      </c>
      <c r="I222" s="117"/>
      <c r="J222" s="117"/>
      <c r="K222" s="118"/>
      <c r="L222" s="116"/>
      <c r="M222" s="117"/>
      <c r="N222" s="117"/>
      <c r="O222" s="118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5"/>
      <c r="AB222" s="149"/>
    </row>
    <row r="223" spans="1:28" ht="11.25" customHeight="1" hidden="1">
      <c r="A223" s="304"/>
      <c r="B223" s="299"/>
      <c r="C223" s="300"/>
      <c r="D223" s="116" t="e">
        <f>+IF(AND(N1=1,W25=2,N8=3,I16&lt;=3,V13&lt;3,N10=2),1,0)</f>
        <v>#N/A</v>
      </c>
      <c r="E223" s="117"/>
      <c r="F223" s="117"/>
      <c r="G223" s="118" t="e">
        <f>+IF(AND(N1=2,W25=2,N8=3,I16&lt;=2,V13&lt;3,N10=2),1,0)</f>
        <v>#N/A</v>
      </c>
      <c r="H223" s="116">
        <f>+IF(AND(N8=3,N10=4,I16=0,V13=1),1,0)</f>
        <v>0</v>
      </c>
      <c r="I223" s="117"/>
      <c r="J223" s="117"/>
      <c r="K223" s="118"/>
      <c r="L223" s="116"/>
      <c r="M223" s="117"/>
      <c r="N223" s="117"/>
      <c r="O223" s="118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5"/>
      <c r="AB223" s="149"/>
    </row>
    <row r="224" spans="1:28" ht="11.25" customHeight="1" hidden="1">
      <c r="A224" s="304"/>
      <c r="B224" s="299"/>
      <c r="C224" s="300"/>
      <c r="D224" s="116" t="e">
        <f>+IF(AND(N1=1,W25=2,N8=3,I16&lt;=3,V13&lt;3,N10=3),1,0)</f>
        <v>#N/A</v>
      </c>
      <c r="E224" s="117"/>
      <c r="F224" s="117"/>
      <c r="G224" s="118" t="e">
        <f>+IF(AND(N1=2,W25=2,N8=3,I16&lt;=2,V13&lt;3,N10=3),1,0)</f>
        <v>#N/A</v>
      </c>
      <c r="H224" s="154">
        <f>+IF(AND(S6=2,N8=3,N10=1,I16=0,V13=1),1,0)</f>
        <v>0</v>
      </c>
      <c r="I224" s="117"/>
      <c r="J224" s="117"/>
      <c r="K224" s="118"/>
      <c r="L224" s="116"/>
      <c r="M224" s="117"/>
      <c r="N224" s="117"/>
      <c r="O224" s="118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5"/>
      <c r="AB224" s="149"/>
    </row>
    <row r="225" spans="1:28" ht="11.25" customHeight="1" hidden="1">
      <c r="A225" s="304"/>
      <c r="B225" s="299"/>
      <c r="C225" s="300"/>
      <c r="D225" s="116" t="e">
        <f>+IF(AND(N1=1,W25=2,N8=3,I16&lt;=3,V13&lt;3,N10=4),1,0)</f>
        <v>#N/A</v>
      </c>
      <c r="E225" s="117"/>
      <c r="F225" s="117"/>
      <c r="G225" s="118" t="e">
        <f>+IF(AND(N1=2,W25=2,N8=3,I16&lt;=3,V13&lt;3,N10=4),1,0)</f>
        <v>#N/A</v>
      </c>
      <c r="H225" s="154">
        <f>+IF(AND(S6=2,N8=3,N10=1,I16&gt;=1,V13=1),1,0)</f>
        <v>0</v>
      </c>
      <c r="I225" s="117"/>
      <c r="J225" s="117"/>
      <c r="K225" s="118"/>
      <c r="L225" s="116"/>
      <c r="M225" s="117"/>
      <c r="N225" s="117"/>
      <c r="O225" s="118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5"/>
      <c r="AB225" s="149"/>
    </row>
    <row r="226" spans="1:28" ht="11.25" customHeight="1" hidden="1">
      <c r="A226" s="305"/>
      <c r="B226" s="301"/>
      <c r="C226" s="302"/>
      <c r="D226" s="129"/>
      <c r="E226" s="130"/>
      <c r="F226" s="130"/>
      <c r="G226" s="131"/>
      <c r="H226" s="129">
        <f>+IF(AND(N8=3,N10=5,I16&gt;=1),1,0)</f>
        <v>0</v>
      </c>
      <c r="I226" s="130"/>
      <c r="J226" s="130"/>
      <c r="K226" s="131"/>
      <c r="L226" s="129"/>
      <c r="M226" s="130"/>
      <c r="N226" s="130"/>
      <c r="O226" s="131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5"/>
      <c r="AB226" s="149"/>
    </row>
    <row r="227" spans="1:28" ht="11.25" customHeight="1" hidden="1">
      <c r="A227" s="96"/>
      <c r="B227" s="96"/>
      <c r="C227" s="96"/>
      <c r="D227" s="134" t="s">
        <v>22</v>
      </c>
      <c r="E227" s="96"/>
      <c r="F227" s="96">
        <f>+D228+D229+D230+D231+D232</f>
        <v>0</v>
      </c>
      <c r="G227" s="96"/>
      <c r="H227" s="97" t="s">
        <v>24</v>
      </c>
      <c r="I227" s="96"/>
      <c r="J227" s="96">
        <f>+H228+H229+H230+H231+H232+H233+H234+H235+H236+I228</f>
        <v>0</v>
      </c>
      <c r="K227" s="96"/>
      <c r="L227" s="134" t="s">
        <v>33</v>
      </c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5"/>
      <c r="AB227" s="149"/>
    </row>
    <row r="228" spans="1:28" ht="11.25" customHeight="1" hidden="1">
      <c r="A228" s="303" t="s">
        <v>111</v>
      </c>
      <c r="B228" s="297" t="s">
        <v>9</v>
      </c>
      <c r="C228" s="298"/>
      <c r="D228" s="150"/>
      <c r="E228" s="151"/>
      <c r="F228" s="151"/>
      <c r="G228" s="152"/>
      <c r="H228" s="150">
        <f>+IF(AND(N8=4,N10=2,I16&gt;=1),1,0)</f>
        <v>0</v>
      </c>
      <c r="I228" s="151">
        <f>+IF(AND(N8=4,N10=5,I16=0,V13=1),1,0)</f>
        <v>0</v>
      </c>
      <c r="J228" s="151"/>
      <c r="K228" s="152"/>
      <c r="L228" s="150">
        <f>+IF(AND(N8=4,V13=1),1,0)</f>
        <v>0</v>
      </c>
      <c r="M228" s="151"/>
      <c r="N228" s="151"/>
      <c r="O228" s="152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5"/>
      <c r="AB228" s="149"/>
    </row>
    <row r="229" spans="1:28" ht="11.25" customHeight="1" hidden="1">
      <c r="A229" s="304"/>
      <c r="B229" s="299"/>
      <c r="C229" s="300"/>
      <c r="D229" s="116"/>
      <c r="E229" s="117"/>
      <c r="F229" s="117"/>
      <c r="G229" s="118"/>
      <c r="H229" s="116">
        <f>+IF(AND(N8=4,N10=2,I16=0,V13=1),1,0)</f>
        <v>0</v>
      </c>
      <c r="I229" s="117"/>
      <c r="J229" s="117"/>
      <c r="K229" s="118"/>
      <c r="L229" s="116"/>
      <c r="M229" s="117"/>
      <c r="N229" s="117"/>
      <c r="O229" s="118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5"/>
      <c r="AB229" s="149"/>
    </row>
    <row r="230" spans="1:28" ht="11.25" customHeight="1" hidden="1">
      <c r="A230" s="304"/>
      <c r="B230" s="299"/>
      <c r="C230" s="300"/>
      <c r="D230" s="116"/>
      <c r="E230" s="117"/>
      <c r="F230" s="117"/>
      <c r="G230" s="118"/>
      <c r="H230" s="116">
        <f>+IF(AND(N8=4,N10=3,I16&gt;=1),1,0)</f>
        <v>0</v>
      </c>
      <c r="I230" s="117"/>
      <c r="J230" s="117"/>
      <c r="K230" s="118"/>
      <c r="L230" s="116"/>
      <c r="M230" s="117"/>
      <c r="N230" s="117"/>
      <c r="O230" s="118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5"/>
      <c r="AB230" s="149"/>
    </row>
    <row r="231" spans="1:28" ht="11.25" customHeight="1" hidden="1">
      <c r="A231" s="304"/>
      <c r="B231" s="299"/>
      <c r="C231" s="300"/>
      <c r="D231" s="116"/>
      <c r="E231" s="117"/>
      <c r="F231" s="117"/>
      <c r="G231" s="118"/>
      <c r="H231" s="116">
        <f>+IF(AND(N8=4,N10=3,I16=0,V13=1),1,0)</f>
        <v>0</v>
      </c>
      <c r="I231" s="117"/>
      <c r="J231" s="117"/>
      <c r="K231" s="118"/>
      <c r="L231" s="116"/>
      <c r="M231" s="117"/>
      <c r="N231" s="117"/>
      <c r="O231" s="118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5"/>
      <c r="AB231" s="149"/>
    </row>
    <row r="232" spans="1:28" ht="11.25" customHeight="1" hidden="1">
      <c r="A232" s="304"/>
      <c r="B232" s="299"/>
      <c r="C232" s="300"/>
      <c r="D232" s="116"/>
      <c r="E232" s="117"/>
      <c r="F232" s="117"/>
      <c r="G232" s="118"/>
      <c r="H232" s="116">
        <f>+IF(AND(N8=4,N10=4,I16&gt;=1),1,0)</f>
        <v>0</v>
      </c>
      <c r="I232" s="117"/>
      <c r="J232" s="117"/>
      <c r="K232" s="118"/>
      <c r="L232" s="116"/>
      <c r="M232" s="117"/>
      <c r="N232" s="117"/>
      <c r="O232" s="118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5"/>
      <c r="AB232" s="149"/>
    </row>
    <row r="233" spans="1:28" ht="11.25" customHeight="1" hidden="1">
      <c r="A233" s="304"/>
      <c r="B233" s="299"/>
      <c r="C233" s="300"/>
      <c r="D233" s="116"/>
      <c r="E233" s="117"/>
      <c r="F233" s="117"/>
      <c r="G233" s="118"/>
      <c r="H233" s="116">
        <f>+IF(AND(N8=4,N10=4,I16=0,V13=1),1,0)</f>
        <v>0</v>
      </c>
      <c r="I233" s="117"/>
      <c r="J233" s="117"/>
      <c r="K233" s="118"/>
      <c r="L233" s="116"/>
      <c r="M233" s="117"/>
      <c r="N233" s="117"/>
      <c r="O233" s="118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5"/>
      <c r="AB233" s="149"/>
    </row>
    <row r="234" spans="1:28" ht="11.25" customHeight="1" hidden="1">
      <c r="A234" s="304"/>
      <c r="B234" s="299"/>
      <c r="C234" s="300"/>
      <c r="D234" s="116"/>
      <c r="E234" s="117"/>
      <c r="F234" s="117"/>
      <c r="G234" s="118"/>
      <c r="H234" s="154">
        <f>+IF(AND(S6=2,N8=4,N10=1,I16=0,V13=1),1,0)</f>
        <v>0</v>
      </c>
      <c r="I234" s="117"/>
      <c r="J234" s="117"/>
      <c r="K234" s="118"/>
      <c r="L234" s="116"/>
      <c r="M234" s="117"/>
      <c r="N234" s="117"/>
      <c r="O234" s="118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5"/>
      <c r="AB234" s="149"/>
    </row>
    <row r="235" spans="1:28" ht="11.25" customHeight="1" hidden="1">
      <c r="A235" s="304"/>
      <c r="B235" s="299"/>
      <c r="C235" s="300"/>
      <c r="D235" s="116"/>
      <c r="E235" s="117"/>
      <c r="F235" s="117"/>
      <c r="G235" s="118"/>
      <c r="H235" s="154">
        <f>+IF(AND(S6=2,N8=4,N10=1,I16&gt;=1,V13=1),1,0)</f>
        <v>0</v>
      </c>
      <c r="I235" s="117"/>
      <c r="J235" s="117"/>
      <c r="K235" s="118"/>
      <c r="L235" s="116"/>
      <c r="M235" s="117"/>
      <c r="N235" s="117"/>
      <c r="O235" s="118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5"/>
      <c r="AB235" s="149"/>
    </row>
    <row r="236" spans="1:28" ht="11.25" customHeight="1" hidden="1">
      <c r="A236" s="305"/>
      <c r="B236" s="301"/>
      <c r="C236" s="302"/>
      <c r="D236" s="129"/>
      <c r="E236" s="130"/>
      <c r="F236" s="130"/>
      <c r="G236" s="131"/>
      <c r="H236" s="129">
        <f>+IF(AND(N8=4,N10=5,I16&gt;=1),1,0)</f>
        <v>0</v>
      </c>
      <c r="I236" s="130"/>
      <c r="J236" s="130"/>
      <c r="K236" s="131"/>
      <c r="L236" s="129"/>
      <c r="M236" s="130"/>
      <c r="N236" s="130"/>
      <c r="O236" s="131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5"/>
      <c r="AB236" s="149"/>
    </row>
    <row r="237" spans="1:28" ht="11.25" customHeight="1" hidden="1">
      <c r="A237" s="96"/>
      <c r="B237" s="96"/>
      <c r="C237" s="96"/>
      <c r="D237" s="134" t="s">
        <v>22</v>
      </c>
      <c r="E237" s="96"/>
      <c r="F237" s="96">
        <f>+D238+D239+D240+D241+D242</f>
        <v>0</v>
      </c>
      <c r="G237" s="96"/>
      <c r="H237" s="97" t="s">
        <v>24</v>
      </c>
      <c r="I237" s="96"/>
      <c r="J237" s="96">
        <f>+H238+H239+H240+H241+H242+H243+H244+H245+H246+I238</f>
        <v>0</v>
      </c>
      <c r="K237" s="96"/>
      <c r="L237" s="134" t="s">
        <v>33</v>
      </c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5"/>
      <c r="AB237" s="149"/>
    </row>
    <row r="238" spans="1:28" ht="11.25" customHeight="1" hidden="1">
      <c r="A238" s="303" t="s">
        <v>111</v>
      </c>
      <c r="B238" s="297" t="s">
        <v>10</v>
      </c>
      <c r="C238" s="298"/>
      <c r="D238" s="150"/>
      <c r="E238" s="151"/>
      <c r="F238" s="151"/>
      <c r="G238" s="152"/>
      <c r="H238" s="150">
        <f>+IF(AND(N8=5,N10=2,I16&gt;=1),1,0)</f>
        <v>0</v>
      </c>
      <c r="I238" s="151">
        <f>+IF(AND(N8=5,N10=5,I16=0,V13=1),1,0)</f>
        <v>0</v>
      </c>
      <c r="J238" s="151"/>
      <c r="K238" s="152"/>
      <c r="L238" s="150">
        <f>+IF(AND(N8=5,V13=1),1,0)</f>
        <v>0</v>
      </c>
      <c r="M238" s="151"/>
      <c r="N238" s="151"/>
      <c r="O238" s="152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5"/>
      <c r="AB238" s="149"/>
    </row>
    <row r="239" spans="1:28" ht="11.25" customHeight="1" hidden="1">
      <c r="A239" s="304"/>
      <c r="B239" s="299"/>
      <c r="C239" s="300"/>
      <c r="D239" s="116"/>
      <c r="E239" s="117"/>
      <c r="F239" s="117"/>
      <c r="G239" s="118"/>
      <c r="H239" s="116">
        <f>+IF(AND(N8=5,N10=2,I16=0,V13=1),1,0)</f>
        <v>0</v>
      </c>
      <c r="I239" s="117"/>
      <c r="J239" s="117"/>
      <c r="K239" s="118"/>
      <c r="L239" s="116"/>
      <c r="M239" s="117"/>
      <c r="N239" s="117"/>
      <c r="O239" s="118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5"/>
      <c r="AB239" s="149"/>
    </row>
    <row r="240" spans="1:28" ht="11.25" customHeight="1" hidden="1">
      <c r="A240" s="304"/>
      <c r="B240" s="299"/>
      <c r="C240" s="300"/>
      <c r="D240" s="116"/>
      <c r="E240" s="117"/>
      <c r="F240" s="117"/>
      <c r="G240" s="118"/>
      <c r="H240" s="116">
        <f>+IF(AND(N8=5,N10=3,I16&gt;=1),1,0)</f>
        <v>0</v>
      </c>
      <c r="I240" s="117"/>
      <c r="J240" s="117"/>
      <c r="K240" s="118"/>
      <c r="L240" s="116"/>
      <c r="M240" s="117"/>
      <c r="N240" s="117"/>
      <c r="O240" s="118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5"/>
      <c r="AB240" s="149"/>
    </row>
    <row r="241" spans="1:28" ht="11.25" customHeight="1" hidden="1">
      <c r="A241" s="304"/>
      <c r="B241" s="299"/>
      <c r="C241" s="300"/>
      <c r="D241" s="116"/>
      <c r="E241" s="117"/>
      <c r="F241" s="117"/>
      <c r="G241" s="118"/>
      <c r="H241" s="116">
        <f>+IF(AND(N8=5,N10=3,I16=0,V13=1),1,0)</f>
        <v>0</v>
      </c>
      <c r="I241" s="117"/>
      <c r="J241" s="117"/>
      <c r="K241" s="118"/>
      <c r="L241" s="116"/>
      <c r="M241" s="117"/>
      <c r="N241" s="117"/>
      <c r="O241" s="118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5"/>
      <c r="AB241" s="149"/>
    </row>
    <row r="242" spans="1:28" ht="11.25" customHeight="1" hidden="1">
      <c r="A242" s="304"/>
      <c r="B242" s="299"/>
      <c r="C242" s="300"/>
      <c r="D242" s="116"/>
      <c r="E242" s="117"/>
      <c r="F242" s="117"/>
      <c r="G242" s="118"/>
      <c r="H242" s="116">
        <f>+IF(AND(N8=5,N10=4,I16&gt;=1),1,0)</f>
        <v>0</v>
      </c>
      <c r="I242" s="117"/>
      <c r="J242" s="117"/>
      <c r="K242" s="118"/>
      <c r="L242" s="116"/>
      <c r="M242" s="117"/>
      <c r="N242" s="117"/>
      <c r="O242" s="118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5"/>
      <c r="AB242" s="149"/>
    </row>
    <row r="243" spans="1:28" ht="11.25" customHeight="1" hidden="1">
      <c r="A243" s="304"/>
      <c r="B243" s="299"/>
      <c r="C243" s="300"/>
      <c r="D243" s="116"/>
      <c r="E243" s="117"/>
      <c r="F243" s="117"/>
      <c r="G243" s="118"/>
      <c r="H243" s="116">
        <f>+IF(AND(N8=5,N10=4,I16=0,V13=1),1,0)</f>
        <v>0</v>
      </c>
      <c r="I243" s="117"/>
      <c r="J243" s="117"/>
      <c r="K243" s="118"/>
      <c r="L243" s="116"/>
      <c r="M243" s="117"/>
      <c r="N243" s="117"/>
      <c r="O243" s="118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5"/>
      <c r="AB243" s="149"/>
    </row>
    <row r="244" spans="1:28" ht="11.25" customHeight="1" hidden="1">
      <c r="A244" s="304"/>
      <c r="B244" s="299"/>
      <c r="C244" s="300"/>
      <c r="D244" s="116"/>
      <c r="E244" s="117"/>
      <c r="F244" s="117"/>
      <c r="G244" s="118"/>
      <c r="H244" s="154">
        <f>+IF(AND(S6=2,N8=5,N10=1,I16=0,V13=1),1,0)</f>
        <v>0</v>
      </c>
      <c r="I244" s="117"/>
      <c r="J244" s="117"/>
      <c r="K244" s="118"/>
      <c r="L244" s="116"/>
      <c r="M244" s="117"/>
      <c r="N244" s="117"/>
      <c r="O244" s="118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5"/>
      <c r="AB244" s="149"/>
    </row>
    <row r="245" spans="1:28" ht="11.25" customHeight="1" hidden="1">
      <c r="A245" s="304"/>
      <c r="B245" s="299"/>
      <c r="C245" s="300"/>
      <c r="D245" s="116"/>
      <c r="E245" s="117"/>
      <c r="F245" s="117"/>
      <c r="G245" s="118"/>
      <c r="H245" s="154">
        <f>+IF(AND(S6=2,N8=5,N10=1,I16&gt;=1,V13=1),1,0)</f>
        <v>0</v>
      </c>
      <c r="I245" s="117"/>
      <c r="J245" s="117"/>
      <c r="K245" s="118"/>
      <c r="L245" s="116"/>
      <c r="M245" s="117"/>
      <c r="N245" s="117"/>
      <c r="O245" s="118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5"/>
      <c r="AB245" s="149"/>
    </row>
    <row r="246" spans="1:28" ht="11.25" customHeight="1" hidden="1">
      <c r="A246" s="305"/>
      <c r="B246" s="301"/>
      <c r="C246" s="302"/>
      <c r="D246" s="129"/>
      <c r="E246" s="130"/>
      <c r="F246" s="130"/>
      <c r="G246" s="131"/>
      <c r="H246" s="129">
        <f>+IF(AND(N8=5,N10=5,I16&gt;=1),1,0)</f>
        <v>0</v>
      </c>
      <c r="I246" s="130"/>
      <c r="J246" s="130"/>
      <c r="K246" s="131"/>
      <c r="L246" s="129"/>
      <c r="M246" s="130"/>
      <c r="N246" s="130"/>
      <c r="O246" s="131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5"/>
      <c r="AB246" s="149"/>
    </row>
    <row r="247" spans="1:28" ht="11.25" customHeight="1" hidden="1">
      <c r="A247" s="96"/>
      <c r="B247" s="96"/>
      <c r="C247" s="96"/>
      <c r="D247" s="134" t="s">
        <v>22</v>
      </c>
      <c r="E247" s="96"/>
      <c r="F247" s="96">
        <f>+D248+D249+D250+D251+D252</f>
        <v>0</v>
      </c>
      <c r="G247" s="96"/>
      <c r="H247" s="97" t="s">
        <v>24</v>
      </c>
      <c r="I247" s="96"/>
      <c r="J247" s="96">
        <f>+H248+H249+H250+H251+H252+H253+H254+H255+H256+I248</f>
        <v>0</v>
      </c>
      <c r="K247" s="96"/>
      <c r="L247" s="134" t="s">
        <v>33</v>
      </c>
      <c r="M247" s="96"/>
      <c r="N247" s="96">
        <f>+L249+L250+L251+L252+L253+L254+L255</f>
        <v>0</v>
      </c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5"/>
      <c r="AB247" s="149"/>
    </row>
    <row r="248" spans="1:28" ht="11.25" customHeight="1" hidden="1">
      <c r="A248" s="303" t="s">
        <v>111</v>
      </c>
      <c r="B248" s="297" t="s">
        <v>11</v>
      </c>
      <c r="C248" s="298"/>
      <c r="D248" s="150"/>
      <c r="E248" s="151"/>
      <c r="F248" s="151"/>
      <c r="G248" s="152"/>
      <c r="H248" s="150">
        <f>+IF(AND(N8=6,N10=2,I16&gt;=1),1,0)</f>
        <v>0</v>
      </c>
      <c r="I248" s="151">
        <f>+IF(AND(N8=6,N10=5,I16=0,V13=1),1,0)</f>
        <v>0</v>
      </c>
      <c r="J248" s="151"/>
      <c r="K248" s="152"/>
      <c r="L248" s="150">
        <f>+IF(AND(N8=5,V13=1),1,0)</f>
        <v>0</v>
      </c>
      <c r="M248" s="151"/>
      <c r="N248" s="151"/>
      <c r="O248" s="152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5"/>
      <c r="AB248" s="149"/>
    </row>
    <row r="249" spans="1:28" ht="11.25" customHeight="1" hidden="1">
      <c r="A249" s="304"/>
      <c r="B249" s="299"/>
      <c r="C249" s="300"/>
      <c r="D249" s="116"/>
      <c r="E249" s="117"/>
      <c r="F249" s="117"/>
      <c r="G249" s="118"/>
      <c r="H249" s="116">
        <f>+IF(AND(N8=6,N10=2,I16=0,V13=1),1,0)</f>
        <v>0</v>
      </c>
      <c r="I249" s="117"/>
      <c r="J249" s="117"/>
      <c r="K249" s="118"/>
      <c r="L249" s="116"/>
      <c r="M249" s="117"/>
      <c r="N249" s="117"/>
      <c r="O249" s="118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5"/>
      <c r="AB249" s="149"/>
    </row>
    <row r="250" spans="1:28" ht="11.25" customHeight="1" hidden="1">
      <c r="A250" s="304"/>
      <c r="B250" s="299"/>
      <c r="C250" s="300"/>
      <c r="D250" s="116"/>
      <c r="E250" s="117"/>
      <c r="F250" s="117"/>
      <c r="G250" s="118"/>
      <c r="H250" s="116">
        <f>+IF(AND(N8=6,N10=3,I16&gt;=1),1,0)</f>
        <v>0</v>
      </c>
      <c r="I250" s="117"/>
      <c r="J250" s="117"/>
      <c r="K250" s="118"/>
      <c r="L250" s="116"/>
      <c r="M250" s="117"/>
      <c r="N250" s="117"/>
      <c r="O250" s="118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5"/>
      <c r="AB250" s="149"/>
    </row>
    <row r="251" spans="1:28" ht="11.25" customHeight="1" hidden="1">
      <c r="A251" s="304"/>
      <c r="B251" s="299"/>
      <c r="C251" s="300"/>
      <c r="D251" s="116"/>
      <c r="E251" s="117"/>
      <c r="F251" s="117"/>
      <c r="G251" s="118"/>
      <c r="H251" s="116">
        <f>+IF(AND(N8=6,N10=3,I16=0,V13=1),1,0)</f>
        <v>0</v>
      </c>
      <c r="I251" s="117"/>
      <c r="J251" s="117"/>
      <c r="K251" s="118"/>
      <c r="L251" s="116"/>
      <c r="M251" s="117"/>
      <c r="N251" s="117"/>
      <c r="O251" s="118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5"/>
      <c r="AB251" s="149"/>
    </row>
    <row r="252" spans="1:28" ht="11.25" customHeight="1" hidden="1">
      <c r="A252" s="304"/>
      <c r="B252" s="299"/>
      <c r="C252" s="300"/>
      <c r="D252" s="116"/>
      <c r="E252" s="117"/>
      <c r="F252" s="117"/>
      <c r="G252" s="118"/>
      <c r="H252" s="116">
        <f>+IF(AND(N8=6,N10=4,I16&gt;=1),1,0)</f>
        <v>0</v>
      </c>
      <c r="I252" s="117"/>
      <c r="J252" s="117"/>
      <c r="K252" s="118"/>
      <c r="L252" s="116"/>
      <c r="M252" s="117"/>
      <c r="N252" s="117"/>
      <c r="O252" s="118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5"/>
      <c r="AB252" s="149"/>
    </row>
    <row r="253" spans="1:28" ht="11.25" customHeight="1" hidden="1">
      <c r="A253" s="304"/>
      <c r="B253" s="299"/>
      <c r="C253" s="300"/>
      <c r="D253" s="116"/>
      <c r="E253" s="117"/>
      <c r="F253" s="117"/>
      <c r="G253" s="118"/>
      <c r="H253" s="116">
        <f>+IF(AND(N8=6,N10=4,I16=0,V13=1),1,0)</f>
        <v>0</v>
      </c>
      <c r="I253" s="117"/>
      <c r="J253" s="117"/>
      <c r="K253" s="118"/>
      <c r="L253" s="116"/>
      <c r="M253" s="117"/>
      <c r="N253" s="117"/>
      <c r="O253" s="118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5"/>
      <c r="AB253" s="149"/>
    </row>
    <row r="254" spans="1:28" ht="11.25" customHeight="1" hidden="1">
      <c r="A254" s="304"/>
      <c r="B254" s="299"/>
      <c r="C254" s="300"/>
      <c r="D254" s="116"/>
      <c r="E254" s="117"/>
      <c r="F254" s="117"/>
      <c r="G254" s="118"/>
      <c r="H254" s="154">
        <f>+IF(AND(S6=2,N8=6,N10=1,I16=0,V13=1),1,0)</f>
        <v>0</v>
      </c>
      <c r="I254" s="117"/>
      <c r="J254" s="117"/>
      <c r="K254" s="118"/>
      <c r="L254" s="116"/>
      <c r="M254" s="117"/>
      <c r="N254" s="117"/>
      <c r="O254" s="118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5"/>
      <c r="AB254" s="149"/>
    </row>
    <row r="255" spans="1:28" ht="11.25" customHeight="1" hidden="1">
      <c r="A255" s="304"/>
      <c r="B255" s="299"/>
      <c r="C255" s="300"/>
      <c r="D255" s="116"/>
      <c r="E255" s="117"/>
      <c r="F255" s="117"/>
      <c r="G255" s="118"/>
      <c r="H255" s="154">
        <f>+IF(AND(S6=2,N8=6,N10=1,I16&gt;=1,V13=1),1,0)</f>
        <v>0</v>
      </c>
      <c r="I255" s="117"/>
      <c r="J255" s="117"/>
      <c r="K255" s="118"/>
      <c r="L255" s="116"/>
      <c r="M255" s="117"/>
      <c r="N255" s="117"/>
      <c r="O255" s="118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5"/>
      <c r="AB255" s="149"/>
    </row>
    <row r="256" spans="1:28" ht="11.25" customHeight="1" hidden="1">
      <c r="A256" s="305"/>
      <c r="B256" s="301"/>
      <c r="C256" s="302"/>
      <c r="D256" s="129"/>
      <c r="E256" s="130"/>
      <c r="F256" s="130"/>
      <c r="G256" s="131"/>
      <c r="H256" s="129">
        <f>+IF(AND(N8=6,N10=5,I16&gt;=1),1,0)</f>
        <v>0</v>
      </c>
      <c r="I256" s="130"/>
      <c r="J256" s="130"/>
      <c r="K256" s="131"/>
      <c r="L256" s="129"/>
      <c r="M256" s="130"/>
      <c r="N256" s="130"/>
      <c r="O256" s="131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5"/>
      <c r="AB256" s="149"/>
    </row>
    <row r="257" spans="1:28" ht="11.25" customHeight="1" hidden="1">
      <c r="A257" s="96"/>
      <c r="B257" s="96"/>
      <c r="C257" s="96"/>
      <c r="D257" s="134" t="s">
        <v>22</v>
      </c>
      <c r="E257" s="96"/>
      <c r="F257" s="96">
        <f>+D258+D259+D260+D261+D262</f>
        <v>0</v>
      </c>
      <c r="G257" s="96"/>
      <c r="H257" s="97" t="s">
        <v>24</v>
      </c>
      <c r="I257" s="96"/>
      <c r="J257" s="96">
        <f>+H258+H259+H260+H261+H262+H263+H264+H265</f>
        <v>0</v>
      </c>
      <c r="K257" s="96"/>
      <c r="L257" s="134" t="s">
        <v>33</v>
      </c>
      <c r="M257" s="96"/>
      <c r="N257" s="96">
        <f>+L258+L259+L260+L261+L262+L263+L264+L265</f>
        <v>0</v>
      </c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5"/>
      <c r="AB257" s="149"/>
    </row>
    <row r="258" spans="1:28" ht="11.25" customHeight="1" hidden="1">
      <c r="A258" s="303" t="s">
        <v>111</v>
      </c>
      <c r="B258" s="297" t="s">
        <v>79</v>
      </c>
      <c r="C258" s="298"/>
      <c r="D258" s="150">
        <f>+IF(N8=8,1,0)</f>
        <v>0</v>
      </c>
      <c r="E258" s="151"/>
      <c r="F258" s="151"/>
      <c r="G258" s="152"/>
      <c r="H258" s="150">
        <f>+IF(N8=8,1,0)</f>
        <v>0</v>
      </c>
      <c r="I258" s="151"/>
      <c r="J258" s="151"/>
      <c r="K258" s="152"/>
      <c r="L258" s="150">
        <f>+IF(N8=8,1,0)</f>
        <v>0</v>
      </c>
      <c r="M258" s="151"/>
      <c r="N258" s="151"/>
      <c r="O258" s="152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5"/>
      <c r="AB258" s="149"/>
    </row>
    <row r="259" spans="1:28" ht="11.25" customHeight="1" hidden="1">
      <c r="A259" s="304"/>
      <c r="B259" s="299"/>
      <c r="C259" s="300"/>
      <c r="D259" s="116"/>
      <c r="E259" s="117"/>
      <c r="F259" s="117"/>
      <c r="G259" s="118"/>
      <c r="H259" s="116"/>
      <c r="I259" s="117"/>
      <c r="J259" s="117"/>
      <c r="K259" s="118"/>
      <c r="L259" s="116"/>
      <c r="M259" s="117"/>
      <c r="N259" s="117"/>
      <c r="O259" s="118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5"/>
      <c r="AB259" s="149"/>
    </row>
    <row r="260" spans="1:28" ht="11.25" customHeight="1" hidden="1">
      <c r="A260" s="304"/>
      <c r="B260" s="299"/>
      <c r="C260" s="300"/>
      <c r="D260" s="116"/>
      <c r="E260" s="117"/>
      <c r="F260" s="117"/>
      <c r="G260" s="118"/>
      <c r="H260" s="116"/>
      <c r="I260" s="117"/>
      <c r="J260" s="117"/>
      <c r="K260" s="118"/>
      <c r="L260" s="116"/>
      <c r="M260" s="117"/>
      <c r="N260" s="117"/>
      <c r="O260" s="118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5"/>
      <c r="AB260" s="149"/>
    </row>
    <row r="261" spans="1:28" ht="11.25" customHeight="1" hidden="1">
      <c r="A261" s="304"/>
      <c r="B261" s="299"/>
      <c r="C261" s="300"/>
      <c r="D261" s="116"/>
      <c r="E261" s="117"/>
      <c r="F261" s="117"/>
      <c r="G261" s="118"/>
      <c r="H261" s="116"/>
      <c r="I261" s="117"/>
      <c r="J261" s="117"/>
      <c r="K261" s="118"/>
      <c r="L261" s="116"/>
      <c r="M261" s="117"/>
      <c r="N261" s="117"/>
      <c r="O261" s="118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5"/>
      <c r="AB261" s="149"/>
    </row>
    <row r="262" spans="1:28" ht="11.25" customHeight="1" hidden="1">
      <c r="A262" s="304"/>
      <c r="B262" s="299"/>
      <c r="C262" s="300"/>
      <c r="D262" s="116"/>
      <c r="E262" s="117"/>
      <c r="F262" s="117"/>
      <c r="G262" s="118"/>
      <c r="H262" s="116"/>
      <c r="I262" s="117"/>
      <c r="J262" s="117"/>
      <c r="K262" s="118"/>
      <c r="L262" s="116"/>
      <c r="M262" s="117"/>
      <c r="N262" s="117"/>
      <c r="O262" s="118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5"/>
      <c r="AB262" s="149"/>
    </row>
    <row r="263" spans="1:28" ht="11.25" customHeight="1" hidden="1">
      <c r="A263" s="304"/>
      <c r="B263" s="299"/>
      <c r="C263" s="300"/>
      <c r="D263" s="116"/>
      <c r="E263" s="117"/>
      <c r="F263" s="117"/>
      <c r="G263" s="118"/>
      <c r="H263" s="116"/>
      <c r="I263" s="117"/>
      <c r="J263" s="117"/>
      <c r="K263" s="118"/>
      <c r="L263" s="116"/>
      <c r="M263" s="117"/>
      <c r="N263" s="117"/>
      <c r="O263" s="118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5"/>
      <c r="AB263" s="149"/>
    </row>
    <row r="264" spans="1:28" ht="11.25" customHeight="1" hidden="1">
      <c r="A264" s="304"/>
      <c r="B264" s="299"/>
      <c r="C264" s="300"/>
      <c r="D264" s="116"/>
      <c r="E264" s="117"/>
      <c r="F264" s="117"/>
      <c r="G264" s="118"/>
      <c r="H264" s="116"/>
      <c r="I264" s="117"/>
      <c r="J264" s="117"/>
      <c r="K264" s="118"/>
      <c r="L264" s="116"/>
      <c r="M264" s="117"/>
      <c r="N264" s="117"/>
      <c r="O264" s="118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5"/>
      <c r="AB264" s="149"/>
    </row>
    <row r="265" spans="1:28" ht="11.25" customHeight="1" hidden="1">
      <c r="A265" s="304"/>
      <c r="B265" s="299"/>
      <c r="C265" s="300"/>
      <c r="D265" s="116"/>
      <c r="E265" s="117"/>
      <c r="F265" s="117"/>
      <c r="G265" s="118"/>
      <c r="H265" s="116"/>
      <c r="I265" s="117"/>
      <c r="J265" s="117"/>
      <c r="K265" s="118"/>
      <c r="L265" s="116"/>
      <c r="M265" s="117"/>
      <c r="N265" s="117"/>
      <c r="O265" s="118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5"/>
      <c r="AB265" s="149"/>
    </row>
    <row r="266" spans="1:28" ht="11.25" customHeight="1" hidden="1">
      <c r="A266" s="305"/>
      <c r="B266" s="301"/>
      <c r="C266" s="302"/>
      <c r="D266" s="129"/>
      <c r="E266" s="130"/>
      <c r="F266" s="130"/>
      <c r="G266" s="131"/>
      <c r="H266" s="129"/>
      <c r="I266" s="130"/>
      <c r="J266" s="130"/>
      <c r="K266" s="131"/>
      <c r="L266" s="129"/>
      <c r="M266" s="130"/>
      <c r="N266" s="130"/>
      <c r="O266" s="131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5"/>
      <c r="AB266" s="149"/>
    </row>
    <row r="267" spans="1:28" ht="11.25" customHeight="1" hidden="1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5"/>
      <c r="AB267" s="149"/>
    </row>
    <row r="268" spans="1:28" ht="11.25" customHeight="1" hidden="1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5"/>
      <c r="AB268" s="149"/>
    </row>
    <row r="269" spans="1:28" ht="11.25" customHeight="1" hidden="1">
      <c r="A269" s="96"/>
      <c r="B269" s="96"/>
      <c r="C269" s="96"/>
      <c r="D269" s="96"/>
      <c r="E269" s="96"/>
      <c r="F269" s="96">
        <f>+IF(M6=4,F270+F280+F290+F330,0)</f>
        <v>0</v>
      </c>
      <c r="G269" s="96"/>
      <c r="H269" s="96"/>
      <c r="I269" s="96"/>
      <c r="J269" s="96">
        <f>+IF(M6=4,J270+J280+J290+J300+J310+J320+J330,0)</f>
        <v>0</v>
      </c>
      <c r="K269" s="96"/>
      <c r="L269" s="96"/>
      <c r="M269" s="96"/>
      <c r="N269" s="96">
        <f>+IF(M6=4,N270+N280+N290+N300+N310+N320+N330,0)</f>
        <v>0</v>
      </c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5"/>
      <c r="AB269" s="149"/>
    </row>
    <row r="270" spans="1:28" ht="11.25" customHeight="1" hidden="1">
      <c r="A270" s="96"/>
      <c r="B270" s="96"/>
      <c r="C270" s="96"/>
      <c r="D270" s="134" t="s">
        <v>22</v>
      </c>
      <c r="E270" s="96"/>
      <c r="F270" s="96" t="e">
        <f>+D271+D272+D273+D274+D275+G271+G272+G273+G274+G275</f>
        <v>#N/A</v>
      </c>
      <c r="G270" s="96"/>
      <c r="H270" s="97">
        <f>+IF(AND(N8=4,N10=4,I16&gt;=1),1,0)</f>
        <v>0</v>
      </c>
      <c r="I270" s="96"/>
      <c r="J270" s="96">
        <f>+H271+H272+H273+H274+H275+H276+H277+H278+H279+I271</f>
        <v>0</v>
      </c>
      <c r="K270" s="96"/>
      <c r="L270" s="134" t="s">
        <v>33</v>
      </c>
      <c r="M270" s="96"/>
      <c r="N270" s="96">
        <f>+L272+L273+L274+L275+L276+L277+L278</f>
        <v>0</v>
      </c>
      <c r="O270" s="96"/>
      <c r="P270" s="96" t="s">
        <v>34</v>
      </c>
      <c r="Q270" s="96"/>
      <c r="R270" s="96">
        <f>+P271+P272+P273+P274+P275+P276+P277+P278</f>
        <v>0</v>
      </c>
      <c r="S270" s="96"/>
      <c r="T270" s="96"/>
      <c r="U270" s="96"/>
      <c r="V270" s="225" t="s">
        <v>231</v>
      </c>
      <c r="W270" s="96"/>
      <c r="X270" s="96"/>
      <c r="Y270" s="96"/>
      <c r="Z270" s="96"/>
      <c r="AA270" s="95"/>
      <c r="AB270" s="149"/>
    </row>
    <row r="271" spans="1:28" ht="11.25" customHeight="1" hidden="1">
      <c r="A271" s="432" t="s">
        <v>112</v>
      </c>
      <c r="B271" s="297" t="s">
        <v>6</v>
      </c>
      <c r="C271" s="298"/>
      <c r="D271" s="150" t="e">
        <f>+IF(AND(N1=1,W25&lt;3,N8=1,I10="Muy bueno",I16&lt;=11),1,0)</f>
        <v>#N/A</v>
      </c>
      <c r="E271" s="151"/>
      <c r="F271" s="151"/>
      <c r="G271" s="152" t="e">
        <f>+IF(AND(N1=2,W25&lt;3,N8=1,I10="Muy bueno",I16&lt;=5),1,0)</f>
        <v>#N/A</v>
      </c>
      <c r="H271" s="179">
        <f>+IF(AND(N8=1,I10="Muy bueno",I16&gt;=1),1,0)</f>
        <v>0</v>
      </c>
      <c r="I271" s="151">
        <f>+IF(AND(N8=1,I10="Alto riesgo",I16=0,V13=1),1,0)</f>
        <v>0</v>
      </c>
      <c r="J271" s="151"/>
      <c r="K271" s="152"/>
      <c r="L271" s="150">
        <f>+IF(AND(N8=1,V13=1),1,0)</f>
        <v>0</v>
      </c>
      <c r="M271" s="151"/>
      <c r="N271" s="151"/>
      <c r="O271" s="152"/>
      <c r="P271" s="150">
        <f>+IF(AND(D33="Tradicional",N10=4),1,0)</f>
        <v>0</v>
      </c>
      <c r="Q271" s="151"/>
      <c r="R271" s="151"/>
      <c r="S271" s="152"/>
      <c r="T271" s="96"/>
      <c r="U271" s="112" t="s">
        <v>12</v>
      </c>
      <c r="V271" s="96">
        <v>1</v>
      </c>
      <c r="W271" s="96"/>
      <c r="X271" s="96"/>
      <c r="Y271" s="96"/>
      <c r="Z271" s="96"/>
      <c r="AA271" s="95"/>
      <c r="AB271" s="149"/>
    </row>
    <row r="272" spans="1:28" ht="11.25" customHeight="1" hidden="1">
      <c r="A272" s="433"/>
      <c r="B272" s="299"/>
      <c r="C272" s="300"/>
      <c r="D272" s="116" t="e">
        <f>+IF(AND(N1=1,W25&lt;3,N8=1,I10="Bueno",I16&lt;=11),1,0)</f>
        <v>#N/A</v>
      </c>
      <c r="E272" s="117"/>
      <c r="F272" s="117"/>
      <c r="G272" s="117" t="e">
        <f>+IF(AND(N1=2,W25=1,N8=1,I10="Bueno",I16&lt;=5),1,0)</f>
        <v>#N/A</v>
      </c>
      <c r="H272" s="224">
        <f>+IF(AND(N8=1,I10="Muy bueno",I16=0,V13=1),1,0)</f>
        <v>0</v>
      </c>
      <c r="I272" s="180"/>
      <c r="J272" s="117"/>
      <c r="K272" s="118"/>
      <c r="L272" s="116"/>
      <c r="M272" s="117"/>
      <c r="N272" s="117"/>
      <c r="O272" s="118"/>
      <c r="P272" s="116">
        <f>+IF(AND(D33="Tradicional",N10=5),1,0)</f>
        <v>0</v>
      </c>
      <c r="Q272" s="117"/>
      <c r="R272" s="117"/>
      <c r="S272" s="118"/>
      <c r="T272" s="96"/>
      <c r="U272" s="112" t="s">
        <v>23</v>
      </c>
      <c r="V272" s="96">
        <v>2</v>
      </c>
      <c r="W272" s="96"/>
      <c r="X272" s="96"/>
      <c r="Y272" s="96"/>
      <c r="Z272" s="96"/>
      <c r="AA272" s="95"/>
      <c r="AB272" s="149"/>
    </row>
    <row r="273" spans="1:28" ht="11.25" customHeight="1" hidden="1">
      <c r="A273" s="433"/>
      <c r="B273" s="299"/>
      <c r="C273" s="441"/>
      <c r="D273" s="221" t="e">
        <f>+IF(AND(N1=1,W25=1,N8=1,I10="Sin habito de pago",I16&lt;2),1,0)</f>
        <v>#N/A</v>
      </c>
      <c r="E273" s="117"/>
      <c r="F273" s="117"/>
      <c r="G273" s="221" t="e">
        <f>+IF(AND(N1=2,W25=1,N8=1,I10="Sin habito de pago",I16=0),1,0)</f>
        <v>#N/A</v>
      </c>
      <c r="H273" s="117">
        <f>+IF(AND(N8=1,I10="Bueno",I16&gt;=1),1,0)</f>
        <v>0</v>
      </c>
      <c r="I273" s="117"/>
      <c r="J273" s="117"/>
      <c r="K273" s="118"/>
      <c r="L273" s="116"/>
      <c r="M273" s="117"/>
      <c r="N273" s="117"/>
      <c r="O273" s="118"/>
      <c r="P273" s="116"/>
      <c r="Q273" s="117"/>
      <c r="R273" s="117"/>
      <c r="S273" s="118"/>
      <c r="T273" s="96"/>
      <c r="U273" s="112" t="s">
        <v>89</v>
      </c>
      <c r="V273" s="96">
        <v>3</v>
      </c>
      <c r="W273" s="96"/>
      <c r="X273" s="96"/>
      <c r="Y273" s="96"/>
      <c r="Z273" s="96"/>
      <c r="AA273" s="95"/>
      <c r="AB273" s="149"/>
    </row>
    <row r="274" spans="1:28" ht="11.25" customHeight="1" hidden="1">
      <c r="A274" s="433"/>
      <c r="B274" s="299"/>
      <c r="C274" s="300"/>
      <c r="D274" s="116" t="e">
        <f>+IF(AND(N1=1,W25=1,N8=1,I10="Regular",I16&lt;2),1,0)</f>
        <v>#N/A</v>
      </c>
      <c r="E274" s="117"/>
      <c r="F274" s="117"/>
      <c r="G274" s="118" t="e">
        <f>+IF(AND(N1=2,W25=1,N8=1,I10="Regular",I16&lt;1),1,0)</f>
        <v>#N/A</v>
      </c>
      <c r="H274" s="116">
        <f>+IF(AND(N8=1,I10="Bueno",I16=0,V13=1),1,0)</f>
        <v>0</v>
      </c>
      <c r="I274" s="117"/>
      <c r="J274" s="117"/>
      <c r="K274" s="118"/>
      <c r="L274" s="116"/>
      <c r="M274" s="117"/>
      <c r="N274" s="117"/>
      <c r="O274" s="118"/>
      <c r="P274" s="116"/>
      <c r="Q274" s="117"/>
      <c r="R274" s="117"/>
      <c r="S274" s="118"/>
      <c r="T274" s="96"/>
      <c r="U274" s="112" t="s">
        <v>13</v>
      </c>
      <c r="V274" s="96">
        <v>4</v>
      </c>
      <c r="W274" s="96"/>
      <c r="X274" s="96"/>
      <c r="Y274" s="96"/>
      <c r="Z274" s="96"/>
      <c r="AA274" s="95"/>
      <c r="AB274" s="149"/>
    </row>
    <row r="275" spans="1:28" ht="11.25" customHeight="1" hidden="1">
      <c r="A275" s="433"/>
      <c r="B275" s="299"/>
      <c r="C275" s="300"/>
      <c r="D275" s="116" t="e">
        <f>+IF(AND(N1=1,W25=1,N8=1,I10="Alto riesgo",I16&lt;2),1,0)</f>
        <v>#N/A</v>
      </c>
      <c r="E275" s="117"/>
      <c r="F275" s="117"/>
      <c r="G275" s="117" t="e">
        <f>+IF(AND(N1=2,W25=1,N8=1,I10="Alto riesgo",I16&lt;1),1,0)</f>
        <v>#N/A</v>
      </c>
      <c r="H275" s="221">
        <f>+IF(AND(N8=1,I10="Regular",I16&gt;=1),1,0)</f>
        <v>0</v>
      </c>
      <c r="I275" s="117"/>
      <c r="J275" s="117"/>
      <c r="K275" s="118"/>
      <c r="L275" s="116"/>
      <c r="M275" s="117"/>
      <c r="N275" s="117"/>
      <c r="O275" s="118"/>
      <c r="P275" s="116"/>
      <c r="Q275" s="117"/>
      <c r="R275" s="117"/>
      <c r="S275" s="118"/>
      <c r="T275" s="96"/>
      <c r="U275" s="112" t="s">
        <v>14</v>
      </c>
      <c r="V275" s="96">
        <v>5</v>
      </c>
      <c r="W275" s="96"/>
      <c r="X275" s="96"/>
      <c r="Y275" s="96"/>
      <c r="Z275" s="96"/>
      <c r="AA275" s="95"/>
      <c r="AB275" s="149"/>
    </row>
    <row r="276" spans="1:28" ht="11.25" customHeight="1" hidden="1">
      <c r="A276" s="433"/>
      <c r="B276" s="299"/>
      <c r="C276" s="300"/>
      <c r="D276" s="116"/>
      <c r="E276" s="117"/>
      <c r="F276" s="117"/>
      <c r="G276" s="118"/>
      <c r="H276" s="116">
        <f>+IF(AND(N8=1,I10="Regular",I16=0,V13=1),1,0)</f>
        <v>0</v>
      </c>
      <c r="I276" s="117"/>
      <c r="J276" s="117"/>
      <c r="K276" s="118"/>
      <c r="L276" s="116"/>
      <c r="M276" s="117"/>
      <c r="N276" s="117"/>
      <c r="O276" s="118"/>
      <c r="P276" s="116"/>
      <c r="Q276" s="117"/>
      <c r="R276" s="117"/>
      <c r="S276" s="118"/>
      <c r="T276" s="96"/>
      <c r="U276" s="96"/>
      <c r="V276" s="96"/>
      <c r="W276" s="96"/>
      <c r="X276" s="96"/>
      <c r="Y276" s="96"/>
      <c r="Z276" s="96"/>
      <c r="AA276" s="95"/>
      <c r="AB276" s="149"/>
    </row>
    <row r="277" spans="1:28" ht="11.25" customHeight="1" hidden="1">
      <c r="A277" s="433"/>
      <c r="B277" s="299"/>
      <c r="C277" s="300"/>
      <c r="D277" s="116"/>
      <c r="E277" s="117"/>
      <c r="F277" s="117"/>
      <c r="G277" s="118"/>
      <c r="H277" s="154">
        <f>+IF(AND(S6=2,N8=1,I10="Sin habito de pago",I16=0,V13=1),1,0)</f>
        <v>0</v>
      </c>
      <c r="I277" s="117"/>
      <c r="J277" s="117"/>
      <c r="K277" s="118"/>
      <c r="L277" s="116"/>
      <c r="M277" s="117"/>
      <c r="N277" s="117"/>
      <c r="O277" s="118"/>
      <c r="P277" s="116"/>
      <c r="Q277" s="117"/>
      <c r="R277" s="117"/>
      <c r="S277" s="118"/>
      <c r="T277" s="96"/>
      <c r="U277" s="96"/>
      <c r="V277" s="96"/>
      <c r="W277" s="96"/>
      <c r="X277" s="96"/>
      <c r="Y277" s="96"/>
      <c r="Z277" s="96"/>
      <c r="AA277" s="95"/>
      <c r="AB277" s="149"/>
    </row>
    <row r="278" spans="1:28" ht="11.25" customHeight="1" hidden="1">
      <c r="A278" s="433"/>
      <c r="B278" s="299"/>
      <c r="C278" s="300"/>
      <c r="D278" s="116"/>
      <c r="E278" s="117"/>
      <c r="F278" s="117"/>
      <c r="G278" s="117"/>
      <c r="H278" s="223">
        <f>+IF(AND(S6=2,N8=1,I10="Sin habito de pago",I16&gt;=1,V13=1),1,0)</f>
        <v>0</v>
      </c>
      <c r="I278" s="117"/>
      <c r="J278" s="117"/>
      <c r="K278" s="118"/>
      <c r="L278" s="116"/>
      <c r="M278" s="117"/>
      <c r="N278" s="117"/>
      <c r="O278" s="118"/>
      <c r="P278" s="116"/>
      <c r="Q278" s="117"/>
      <c r="R278" s="117"/>
      <c r="S278" s="118"/>
      <c r="T278" s="96"/>
      <c r="U278" s="96"/>
      <c r="V278" s="96"/>
      <c r="W278" s="96"/>
      <c r="X278" s="96"/>
      <c r="Y278" s="96"/>
      <c r="Z278" s="96"/>
      <c r="AA278" s="95"/>
      <c r="AB278" s="149"/>
    </row>
    <row r="279" spans="1:28" ht="11.25" customHeight="1" hidden="1">
      <c r="A279" s="434"/>
      <c r="B279" s="301"/>
      <c r="C279" s="302"/>
      <c r="D279" s="129"/>
      <c r="E279" s="130"/>
      <c r="F279" s="130"/>
      <c r="G279" s="131"/>
      <c r="H279" s="129">
        <f>+IF(AND(N8=1,I10="Alto riesgo",I16&gt;=1),1,0)</f>
        <v>0</v>
      </c>
      <c r="I279" s="130"/>
      <c r="J279" s="130"/>
      <c r="K279" s="131"/>
      <c r="L279" s="129"/>
      <c r="M279" s="130"/>
      <c r="N279" s="130"/>
      <c r="O279" s="131"/>
      <c r="P279" s="129"/>
      <c r="Q279" s="130"/>
      <c r="R279" s="130"/>
      <c r="S279" s="130"/>
      <c r="T279" s="96"/>
      <c r="U279" s="96"/>
      <c r="V279" s="96"/>
      <c r="W279" s="96"/>
      <c r="X279" s="96"/>
      <c r="Y279" s="96"/>
      <c r="Z279" s="96"/>
      <c r="AA279" s="95"/>
      <c r="AB279" s="149"/>
    </row>
    <row r="280" spans="1:28" ht="11.25" customHeight="1" hidden="1">
      <c r="A280" s="96"/>
      <c r="B280" s="96"/>
      <c r="C280" s="96"/>
      <c r="D280" s="134" t="s">
        <v>22</v>
      </c>
      <c r="E280" s="96"/>
      <c r="F280" s="96" t="e">
        <f>+D281+D282+D283+D284+D285</f>
        <v>#N/A</v>
      </c>
      <c r="G280" s="96"/>
      <c r="H280" s="97" t="s">
        <v>24</v>
      </c>
      <c r="I280" s="96"/>
      <c r="J280" s="96">
        <f>+H281+H282+H283+H284+H285+H286+H287+H288+H289+I281</f>
        <v>0</v>
      </c>
      <c r="K280" s="96"/>
      <c r="L280" s="134" t="s">
        <v>33</v>
      </c>
      <c r="M280" s="96"/>
      <c r="N280" s="96">
        <f>+L282+L283+L284+L285+L286+L287+L288</f>
        <v>0</v>
      </c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5"/>
      <c r="AB280" s="149"/>
    </row>
    <row r="281" spans="1:28" ht="11.25" customHeight="1" hidden="1">
      <c r="A281" s="432" t="s">
        <v>112</v>
      </c>
      <c r="B281" s="297" t="s">
        <v>7</v>
      </c>
      <c r="C281" s="298"/>
      <c r="D281" s="150" t="e">
        <f>+IF(AND(N1=1,W25&lt;3,N8=2,I10="Muy bueno",I16&lt;5),1,0)</f>
        <v>#N/A</v>
      </c>
      <c r="E281" s="151"/>
      <c r="F281" s="151"/>
      <c r="G281" s="152"/>
      <c r="H281" s="179">
        <f>+IF(AND(N8=2,I10="Muy bueno",I16&gt;=1),1,0)</f>
        <v>0</v>
      </c>
      <c r="I281" s="151">
        <f>+IF(AND(N8=2,I10="Alto riesgo",I16=0,V13=1),1,0)</f>
        <v>0</v>
      </c>
      <c r="J281" s="151"/>
      <c r="K281" s="152"/>
      <c r="L281" s="150">
        <f>+IF(AND(N8=2,V13=1),1,0)</f>
        <v>0</v>
      </c>
      <c r="M281" s="151"/>
      <c r="N281" s="151"/>
      <c r="O281" s="152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5"/>
      <c r="AB281" s="149"/>
    </row>
    <row r="282" spans="1:28" ht="11.25" customHeight="1" hidden="1">
      <c r="A282" s="433"/>
      <c r="B282" s="299"/>
      <c r="C282" s="300"/>
      <c r="D282" s="116" t="e">
        <f>+IF(AND(N1=1,W25&lt;3,N8=2,I10="Bueno",I16&lt;5),1,0)</f>
        <v>#N/A</v>
      </c>
      <c r="E282" s="117"/>
      <c r="F282" s="117"/>
      <c r="G282" s="117"/>
      <c r="H282" s="224">
        <f>+IF(AND(N8=2,I10="Muy bueno",I16=0,V13=1),1,0)</f>
        <v>0</v>
      </c>
      <c r="I282" s="180"/>
      <c r="J282" s="117"/>
      <c r="K282" s="118"/>
      <c r="L282" s="116"/>
      <c r="M282" s="117"/>
      <c r="N282" s="117"/>
      <c r="O282" s="118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5"/>
      <c r="AB282" s="149"/>
    </row>
    <row r="283" spans="1:28" ht="11.25" customHeight="1" hidden="1">
      <c r="A283" s="433"/>
      <c r="B283" s="299"/>
      <c r="C283" s="441"/>
      <c r="D283" s="221" t="e">
        <f>+IF(AND(N1=1,W25=1,N8=2,I10="Sin habito de pago",I16&lt;1),1,0)</f>
        <v>#N/A</v>
      </c>
      <c r="E283" s="117"/>
      <c r="F283" s="117"/>
      <c r="G283" s="221"/>
      <c r="H283" s="117">
        <f>+IF(AND(N8=2,I10="Bueno",I16&gt;=1),1,0)</f>
        <v>0</v>
      </c>
      <c r="I283" s="117"/>
      <c r="J283" s="117"/>
      <c r="K283" s="118"/>
      <c r="L283" s="116"/>
      <c r="M283" s="117"/>
      <c r="N283" s="117"/>
      <c r="O283" s="118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5"/>
      <c r="AB283" s="149"/>
    </row>
    <row r="284" spans="1:28" ht="11.25" customHeight="1" hidden="1">
      <c r="A284" s="433"/>
      <c r="B284" s="299"/>
      <c r="C284" s="300"/>
      <c r="D284" s="116" t="e">
        <f>+IF(AND(N1=1,W25=1,N8=2,I10="Regular",I16&lt;1),1,0)</f>
        <v>#N/A</v>
      </c>
      <c r="E284" s="117"/>
      <c r="F284" s="117"/>
      <c r="G284" s="118"/>
      <c r="H284" s="116">
        <f>+IF(AND(N8=2,I10="Bueno",I16=0,V13=1),1,0)</f>
        <v>0</v>
      </c>
      <c r="I284" s="117"/>
      <c r="J284" s="117"/>
      <c r="K284" s="118"/>
      <c r="L284" s="116"/>
      <c r="M284" s="117"/>
      <c r="N284" s="117"/>
      <c r="O284" s="118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5"/>
      <c r="AB284" s="149"/>
    </row>
    <row r="285" spans="1:28" ht="11.25" customHeight="1" hidden="1">
      <c r="A285" s="433"/>
      <c r="B285" s="299"/>
      <c r="C285" s="300"/>
      <c r="D285" s="116" t="e">
        <f>+IF(AND(N1=1,W25=1,N8=2,I10="Alto riesgo",I16&lt;1),1,0)</f>
        <v>#N/A</v>
      </c>
      <c r="E285" s="117"/>
      <c r="F285" s="117"/>
      <c r="G285" s="117"/>
      <c r="H285" s="221">
        <f>+IF(AND(N8=2,I10="Regular",I16&gt;=1),1,0)</f>
        <v>0</v>
      </c>
      <c r="I285" s="117"/>
      <c r="J285" s="117"/>
      <c r="K285" s="118"/>
      <c r="L285" s="116"/>
      <c r="M285" s="117"/>
      <c r="N285" s="117"/>
      <c r="O285" s="118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5"/>
      <c r="AB285" s="149"/>
    </row>
    <row r="286" spans="1:28" ht="11.25" customHeight="1" hidden="1">
      <c r="A286" s="433"/>
      <c r="B286" s="299"/>
      <c r="C286" s="300"/>
      <c r="D286" s="116"/>
      <c r="E286" s="117"/>
      <c r="F286" s="117"/>
      <c r="G286" s="118"/>
      <c r="H286" s="116">
        <f>+IF(AND(N8=2,I10="Regular",I16=0,V13=1),1,0)</f>
        <v>0</v>
      </c>
      <c r="I286" s="117"/>
      <c r="J286" s="117"/>
      <c r="K286" s="118"/>
      <c r="L286" s="116"/>
      <c r="M286" s="117"/>
      <c r="N286" s="117"/>
      <c r="O286" s="118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5"/>
      <c r="AB286" s="149"/>
    </row>
    <row r="287" spans="1:28" ht="11.25" customHeight="1" hidden="1">
      <c r="A287" s="433"/>
      <c r="B287" s="299"/>
      <c r="C287" s="300"/>
      <c r="D287" s="116"/>
      <c r="E287" s="117"/>
      <c r="F287" s="117"/>
      <c r="G287" s="118"/>
      <c r="H287" s="154">
        <f>+IF(AND(S6=2,N8=2,I10="Sin habito de pago",I16=0,V13=1),1,0)</f>
        <v>0</v>
      </c>
      <c r="I287" s="117"/>
      <c r="J287" s="117"/>
      <c r="K287" s="118"/>
      <c r="L287" s="116"/>
      <c r="M287" s="117"/>
      <c r="N287" s="117"/>
      <c r="O287" s="118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5"/>
      <c r="AB287" s="149"/>
    </row>
    <row r="288" spans="1:28" ht="11.25" customHeight="1" hidden="1">
      <c r="A288" s="433"/>
      <c r="B288" s="299"/>
      <c r="C288" s="300"/>
      <c r="D288" s="116"/>
      <c r="E288" s="117"/>
      <c r="F288" s="117"/>
      <c r="G288" s="117"/>
      <c r="H288" s="223">
        <f>+IF(AND(S6=2,N8=2,I10="Sin habito de pago",I16&gt;=1,V13=1),1,0)</f>
        <v>0</v>
      </c>
      <c r="I288" s="117"/>
      <c r="J288" s="117"/>
      <c r="K288" s="118"/>
      <c r="L288" s="116"/>
      <c r="M288" s="117"/>
      <c r="N288" s="117"/>
      <c r="O288" s="118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5"/>
      <c r="AB288" s="149"/>
    </row>
    <row r="289" spans="1:28" ht="11.25" customHeight="1" hidden="1">
      <c r="A289" s="434"/>
      <c r="B289" s="301"/>
      <c r="C289" s="302"/>
      <c r="D289" s="129"/>
      <c r="E289" s="130"/>
      <c r="F289" s="130"/>
      <c r="G289" s="131"/>
      <c r="H289" s="129">
        <f>+IF(AND(N8=2,I10="Alto riesgo",I16&gt;=1),1,0)</f>
        <v>0</v>
      </c>
      <c r="I289" s="130"/>
      <c r="J289" s="130"/>
      <c r="K289" s="131"/>
      <c r="L289" s="129"/>
      <c r="M289" s="130"/>
      <c r="N289" s="130"/>
      <c r="O289" s="131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5"/>
      <c r="AB289" s="149"/>
    </row>
    <row r="290" spans="1:28" ht="11.25" customHeight="1" hidden="1">
      <c r="A290" s="96"/>
      <c r="B290" s="96"/>
      <c r="C290" s="96"/>
      <c r="D290" s="134" t="s">
        <v>22</v>
      </c>
      <c r="E290" s="96"/>
      <c r="F290" s="96"/>
      <c r="G290" s="96"/>
      <c r="H290" s="97" t="s">
        <v>24</v>
      </c>
      <c r="I290" s="96"/>
      <c r="J290" s="96">
        <f>+H291+H292+H293+H294+H295+H296+H297+H298+H299+I291</f>
        <v>0</v>
      </c>
      <c r="K290" s="96"/>
      <c r="L290" s="134" t="s">
        <v>33</v>
      </c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5"/>
      <c r="AB290" s="149"/>
    </row>
    <row r="291" spans="1:28" ht="11.25" customHeight="1" hidden="1">
      <c r="A291" s="432" t="s">
        <v>112</v>
      </c>
      <c r="B291" s="297" t="s">
        <v>8</v>
      </c>
      <c r="C291" s="298"/>
      <c r="D291" s="150" t="e">
        <f>+IF(AND(W25=1,N8=3,N10=2,I16&lt;=1,V13&lt;2,P13=1),1,0)</f>
        <v>#N/A</v>
      </c>
      <c r="E291" s="151"/>
      <c r="F291" s="151"/>
      <c r="G291" s="152"/>
      <c r="H291" s="150">
        <f>+IF(AND(N8=3,I10="Muy bueno",I16&gt;=1),1,0)</f>
        <v>0</v>
      </c>
      <c r="I291" s="151">
        <f>+IF(AND(N8=3,I10="Alto riesgo",I16=0,V13=1),1,0)</f>
        <v>0</v>
      </c>
      <c r="J291" s="151"/>
      <c r="K291" s="152"/>
      <c r="L291" s="150">
        <f>+IF(AND(N8=3,V13=1,I16&gt;=1),1,0)</f>
        <v>0</v>
      </c>
      <c r="M291" s="151"/>
      <c r="N291" s="151"/>
      <c r="O291" s="152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5"/>
      <c r="AB291" s="149"/>
    </row>
    <row r="292" spans="1:28" ht="11.25" customHeight="1" hidden="1">
      <c r="A292" s="433"/>
      <c r="B292" s="299"/>
      <c r="C292" s="300"/>
      <c r="D292" s="116" t="e">
        <f>+IF(AND(W25=1,N8=3,N10=3,I16&lt;=1,V13&lt;2,P13=1),1,0)</f>
        <v>#N/A</v>
      </c>
      <c r="E292" s="117"/>
      <c r="F292" s="117"/>
      <c r="G292" s="117"/>
      <c r="H292" s="221">
        <f>+IF(AND(N8=3,I10="Muy bueno",I16=0,V13=1),1,0)</f>
        <v>0</v>
      </c>
      <c r="I292" s="117"/>
      <c r="J292" s="117"/>
      <c r="K292" s="118"/>
      <c r="L292" s="116"/>
      <c r="M292" s="117"/>
      <c r="N292" s="117"/>
      <c r="O292" s="118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5"/>
      <c r="AB292" s="149"/>
    </row>
    <row r="293" spans="1:28" ht="11.25" customHeight="1" hidden="1">
      <c r="A293" s="433"/>
      <c r="B293" s="299"/>
      <c r="C293" s="300"/>
      <c r="D293" s="116" t="e">
        <f>+IF(AND(W25=1,N8=3,N10=1,I16&lt;2,V13=1,P13=1),1,0)</f>
        <v>#N/A</v>
      </c>
      <c r="E293" s="117"/>
      <c r="F293" s="117"/>
      <c r="G293" s="118"/>
      <c r="H293" s="116">
        <f>+IF(AND(N8=3,I10="Bueno",I16&gt;=1),1,0)</f>
        <v>0</v>
      </c>
      <c r="I293" s="117"/>
      <c r="J293" s="117"/>
      <c r="K293" s="118"/>
      <c r="L293" s="116"/>
      <c r="M293" s="117"/>
      <c r="N293" s="117"/>
      <c r="O293" s="118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5"/>
      <c r="AB293" s="149"/>
    </row>
    <row r="294" spans="1:28" ht="11.25" customHeight="1" hidden="1">
      <c r="A294" s="433"/>
      <c r="B294" s="299"/>
      <c r="C294" s="300"/>
      <c r="D294" s="116" t="e">
        <f>+IF(AND(W25=1,N8=3,N10=4,I16&lt;1,V13&lt;2,P13=1),1,0)</f>
        <v>#N/A</v>
      </c>
      <c r="E294" s="117"/>
      <c r="F294" s="117"/>
      <c r="G294" s="118"/>
      <c r="H294" s="116">
        <f>+IF(AND(N8=3,I10="Bueno",I16=0,V13=1),1,0)</f>
        <v>0</v>
      </c>
      <c r="I294" s="117"/>
      <c r="J294" s="117"/>
      <c r="K294" s="118"/>
      <c r="L294" s="116"/>
      <c r="M294" s="117"/>
      <c r="N294" s="117"/>
      <c r="O294" s="118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5"/>
      <c r="AB294" s="149"/>
    </row>
    <row r="295" spans="1:28" ht="11.25" customHeight="1" hidden="1">
      <c r="A295" s="433"/>
      <c r="B295" s="299"/>
      <c r="C295" s="300"/>
      <c r="D295" s="116" t="e">
        <f>+IF(AND(W25=1,N8=3,N10=5,I16&lt;1,V13&lt;2),1,0)</f>
        <v>#N/A</v>
      </c>
      <c r="E295" s="117"/>
      <c r="F295" s="117"/>
      <c r="G295" s="117"/>
      <c r="H295" s="221">
        <f>+IF(AND(N8=3,I10="Regular",I16&gt;=1),1,0)</f>
        <v>0</v>
      </c>
      <c r="I295" s="117"/>
      <c r="J295" s="117"/>
      <c r="K295" s="118"/>
      <c r="L295" s="116"/>
      <c r="M295" s="117"/>
      <c r="N295" s="117"/>
      <c r="O295" s="118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5"/>
      <c r="AB295" s="149"/>
    </row>
    <row r="296" spans="1:28" ht="11.25" customHeight="1" hidden="1">
      <c r="A296" s="433"/>
      <c r="B296" s="299"/>
      <c r="C296" s="300"/>
      <c r="D296" s="116" t="e">
        <f>+IF(AND(W25=2,N8=3,I16&lt;=3,V13&lt;3,N10=2),1,0)</f>
        <v>#N/A</v>
      </c>
      <c r="E296" s="117"/>
      <c r="F296" s="117"/>
      <c r="G296" s="118"/>
      <c r="H296" s="116">
        <f>+IF(AND(N8=3,I10="Regular",I16=0,V13=1),1,0)</f>
        <v>0</v>
      </c>
      <c r="I296" s="117"/>
      <c r="J296" s="117"/>
      <c r="K296" s="118"/>
      <c r="L296" s="116"/>
      <c r="M296" s="117"/>
      <c r="N296" s="117"/>
      <c r="O296" s="118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5"/>
      <c r="AB296" s="149"/>
    </row>
    <row r="297" spans="1:28" ht="11.25" customHeight="1" hidden="1">
      <c r="A297" s="433"/>
      <c r="B297" s="299"/>
      <c r="C297" s="300"/>
      <c r="D297" s="116" t="e">
        <f>+IF(AND(W25=2,N8=3,I16&lt;=3,V13&lt;3,N10=3),1,0)</f>
        <v>#N/A</v>
      </c>
      <c r="E297" s="117"/>
      <c r="F297" s="117"/>
      <c r="G297" s="118"/>
      <c r="H297" s="154">
        <f>+IF(AND(S6=2,N8=3,I10="Sin habito de pago",I16=0,V13=1),1,0)</f>
        <v>0</v>
      </c>
      <c r="I297" s="117"/>
      <c r="J297" s="117"/>
      <c r="K297" s="118"/>
      <c r="L297" s="116"/>
      <c r="M297" s="117"/>
      <c r="N297" s="117"/>
      <c r="O297" s="118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5"/>
      <c r="AB297" s="149"/>
    </row>
    <row r="298" spans="1:28" ht="11.25" customHeight="1" hidden="1">
      <c r="A298" s="433"/>
      <c r="B298" s="299"/>
      <c r="C298" s="300"/>
      <c r="D298" s="116" t="e">
        <f>+IF(AND(W25=2,N8=3,I16&lt;=3,V13&lt;3,N10=4),1,0)</f>
        <v>#N/A</v>
      </c>
      <c r="E298" s="117"/>
      <c r="F298" s="117"/>
      <c r="G298" s="117"/>
      <c r="H298" s="222">
        <f>+IF(AND(S6=2,N8=3,I10="Sin habito de pago",I16&gt;=1,V13=1),1,0)</f>
        <v>0</v>
      </c>
      <c r="I298" s="117"/>
      <c r="J298" s="117"/>
      <c r="K298" s="118"/>
      <c r="L298" s="116"/>
      <c r="M298" s="117"/>
      <c r="N298" s="117"/>
      <c r="O298" s="118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5"/>
      <c r="AB298" s="149"/>
    </row>
    <row r="299" spans="1:28" ht="11.25" customHeight="1" hidden="1">
      <c r="A299" s="434"/>
      <c r="B299" s="301"/>
      <c r="C299" s="302"/>
      <c r="D299" s="129"/>
      <c r="E299" s="130"/>
      <c r="F299" s="130"/>
      <c r="G299" s="131"/>
      <c r="H299" s="129">
        <f>+IF(AND(N8=3,I10="Alto riesgo",I16&gt;=1),1,0)</f>
        <v>0</v>
      </c>
      <c r="I299" s="130"/>
      <c r="J299" s="130"/>
      <c r="K299" s="131"/>
      <c r="L299" s="129"/>
      <c r="M299" s="130"/>
      <c r="N299" s="130"/>
      <c r="O299" s="131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5"/>
      <c r="AB299" s="149"/>
    </row>
    <row r="300" spans="1:28" ht="11.25" customHeight="1" hidden="1">
      <c r="A300" s="96"/>
      <c r="B300" s="96"/>
      <c r="C300" s="96"/>
      <c r="D300" s="134" t="s">
        <v>22</v>
      </c>
      <c r="E300" s="96"/>
      <c r="F300" s="96">
        <f>+D301+D302+D303+D304+D305</f>
        <v>0</v>
      </c>
      <c r="G300" s="96"/>
      <c r="H300" s="97" t="s">
        <v>24</v>
      </c>
      <c r="I300" s="96"/>
      <c r="J300" s="96">
        <f>+H301+H302+H303+H304+H305+H306+H307+H308+H309+I301</f>
        <v>0</v>
      </c>
      <c r="K300" s="96"/>
      <c r="L300" s="134" t="s">
        <v>33</v>
      </c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5"/>
      <c r="AB300" s="149"/>
    </row>
    <row r="301" spans="1:28" ht="11.25" customHeight="1" hidden="1">
      <c r="A301" s="432" t="s">
        <v>112</v>
      </c>
      <c r="B301" s="297" t="s">
        <v>9</v>
      </c>
      <c r="C301" s="298"/>
      <c r="D301" s="150"/>
      <c r="E301" s="151"/>
      <c r="F301" s="151"/>
      <c r="G301" s="152"/>
      <c r="H301" s="150">
        <f>+IF(AND(N8=4,I10="Muy bueno",I16&gt;=1),1,0)</f>
        <v>0</v>
      </c>
      <c r="I301" s="151">
        <f>+IF(AND(N8=4,I10="Alto riesgo",I16=0,V13=1),1,0)</f>
        <v>0</v>
      </c>
      <c r="J301" s="151"/>
      <c r="K301" s="152"/>
      <c r="L301" s="150">
        <f>+IF(AND(N8=4,V13=1),1,0)</f>
        <v>0</v>
      </c>
      <c r="M301" s="151"/>
      <c r="N301" s="151"/>
      <c r="O301" s="152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5"/>
      <c r="AB301" s="149"/>
    </row>
    <row r="302" spans="1:28" ht="11.25" customHeight="1" hidden="1">
      <c r="A302" s="433"/>
      <c r="B302" s="299"/>
      <c r="C302" s="300"/>
      <c r="D302" s="116"/>
      <c r="E302" s="117"/>
      <c r="F302" s="117"/>
      <c r="G302" s="117"/>
      <c r="H302" s="221">
        <f>+IF(AND(N8=4,I10="Muy bueno",I16=0,V13=1),1,0)</f>
        <v>0</v>
      </c>
      <c r="I302" s="117"/>
      <c r="J302" s="117"/>
      <c r="K302" s="118"/>
      <c r="L302" s="116"/>
      <c r="M302" s="117"/>
      <c r="N302" s="117"/>
      <c r="O302" s="118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5"/>
      <c r="AB302" s="149"/>
    </row>
    <row r="303" spans="1:28" ht="11.25" customHeight="1" hidden="1">
      <c r="A303" s="433"/>
      <c r="B303" s="299"/>
      <c r="C303" s="300"/>
      <c r="D303" s="116"/>
      <c r="E303" s="117"/>
      <c r="F303" s="117"/>
      <c r="G303" s="118"/>
      <c r="H303" s="116">
        <f>+IF(AND(N8=4,I10="Bueno",I16&gt;=1),1,0)</f>
        <v>0</v>
      </c>
      <c r="I303" s="117"/>
      <c r="J303" s="117"/>
      <c r="K303" s="118"/>
      <c r="L303" s="116"/>
      <c r="M303" s="117"/>
      <c r="N303" s="117"/>
      <c r="O303" s="118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5"/>
      <c r="AB303" s="149"/>
    </row>
    <row r="304" spans="1:28" ht="11.25" customHeight="1" hidden="1">
      <c r="A304" s="433"/>
      <c r="B304" s="299"/>
      <c r="C304" s="300"/>
      <c r="D304" s="116"/>
      <c r="E304" s="117"/>
      <c r="F304" s="117"/>
      <c r="G304" s="118"/>
      <c r="H304" s="116">
        <f>+IF(AND(N8=4,I10="Bueno",I16=0,V13=1),1,0)</f>
        <v>0</v>
      </c>
      <c r="I304" s="117"/>
      <c r="J304" s="117"/>
      <c r="K304" s="118"/>
      <c r="L304" s="116"/>
      <c r="M304" s="117"/>
      <c r="N304" s="117"/>
      <c r="O304" s="118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5"/>
      <c r="AB304" s="149"/>
    </row>
    <row r="305" spans="1:28" ht="11.25" customHeight="1" hidden="1">
      <c r="A305" s="433"/>
      <c r="B305" s="299"/>
      <c r="C305" s="300"/>
      <c r="D305" s="116"/>
      <c r="E305" s="117"/>
      <c r="F305" s="117"/>
      <c r="G305" s="117"/>
      <c r="H305" s="221">
        <f>+IF(AND(N8=4,I10="Regular",I16&gt;=1),1,0)</f>
        <v>0</v>
      </c>
      <c r="I305" s="117"/>
      <c r="J305" s="117"/>
      <c r="K305" s="118"/>
      <c r="L305" s="116"/>
      <c r="M305" s="117"/>
      <c r="N305" s="117"/>
      <c r="O305" s="118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5"/>
      <c r="AB305" s="149"/>
    </row>
    <row r="306" spans="1:28" ht="11.25" customHeight="1" hidden="1">
      <c r="A306" s="433"/>
      <c r="B306" s="299"/>
      <c r="C306" s="300"/>
      <c r="D306" s="116"/>
      <c r="E306" s="117"/>
      <c r="F306" s="117"/>
      <c r="G306" s="118"/>
      <c r="H306" s="116">
        <f>+IF(AND(N8=4,I10="Regular",I16=0,V13=1),1,0)</f>
        <v>0</v>
      </c>
      <c r="I306" s="117"/>
      <c r="J306" s="117"/>
      <c r="K306" s="118"/>
      <c r="L306" s="116"/>
      <c r="M306" s="117"/>
      <c r="N306" s="117"/>
      <c r="O306" s="118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5"/>
      <c r="AB306" s="149"/>
    </row>
    <row r="307" spans="1:28" ht="11.25" customHeight="1" hidden="1">
      <c r="A307" s="433"/>
      <c r="B307" s="299"/>
      <c r="C307" s="300"/>
      <c r="D307" s="116"/>
      <c r="E307" s="117"/>
      <c r="F307" s="117"/>
      <c r="G307" s="118"/>
      <c r="H307" s="154">
        <f>+IF(AND(S6=2,N8=4,I10="Sin habito de pago",I16=0,V13=1),1,0)</f>
        <v>0</v>
      </c>
      <c r="I307" s="117"/>
      <c r="J307" s="117"/>
      <c r="K307" s="118"/>
      <c r="L307" s="116"/>
      <c r="M307" s="117"/>
      <c r="N307" s="117"/>
      <c r="O307" s="118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5"/>
      <c r="AB307" s="149"/>
    </row>
    <row r="308" spans="1:28" ht="11.25" customHeight="1" hidden="1">
      <c r="A308" s="433"/>
      <c r="B308" s="299"/>
      <c r="C308" s="300"/>
      <c r="D308" s="116"/>
      <c r="E308" s="117"/>
      <c r="F308" s="117"/>
      <c r="G308" s="117"/>
      <c r="H308" s="222">
        <f>+IF(AND(S6=2,N8=4,I10="Sin habito de pago",I16&gt;=1,V13=1),1,0)</f>
        <v>0</v>
      </c>
      <c r="I308" s="117"/>
      <c r="J308" s="117"/>
      <c r="K308" s="118"/>
      <c r="L308" s="116"/>
      <c r="M308" s="117"/>
      <c r="N308" s="117"/>
      <c r="O308" s="118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5"/>
      <c r="AB308" s="149"/>
    </row>
    <row r="309" spans="1:28" ht="11.25" customHeight="1" hidden="1">
      <c r="A309" s="434"/>
      <c r="B309" s="301"/>
      <c r="C309" s="302"/>
      <c r="D309" s="129"/>
      <c r="E309" s="130"/>
      <c r="F309" s="130"/>
      <c r="G309" s="131"/>
      <c r="H309" s="129">
        <f>+IF(AND(N8=4,I10="Alto riesgo",I16&gt;=1),1,0)</f>
        <v>0</v>
      </c>
      <c r="I309" s="130"/>
      <c r="J309" s="130"/>
      <c r="K309" s="131"/>
      <c r="L309" s="129"/>
      <c r="M309" s="130"/>
      <c r="N309" s="130"/>
      <c r="O309" s="131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5"/>
      <c r="AB309" s="149"/>
    </row>
    <row r="310" spans="1:28" ht="11.25" customHeight="1" hidden="1">
      <c r="A310" s="96"/>
      <c r="B310" s="96"/>
      <c r="C310" s="96"/>
      <c r="D310" s="134" t="s">
        <v>22</v>
      </c>
      <c r="E310" s="96"/>
      <c r="F310" s="96">
        <f>+D311+D312+D313+D314+D315</f>
        <v>0</v>
      </c>
      <c r="G310" s="96"/>
      <c r="H310" s="97" t="s">
        <v>24</v>
      </c>
      <c r="I310" s="96"/>
      <c r="J310" s="96">
        <f>+H311+H312+H313+H314+H315+H316+H317+H318+H319+I311</f>
        <v>0</v>
      </c>
      <c r="K310" s="96"/>
      <c r="L310" s="134" t="s">
        <v>33</v>
      </c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5"/>
      <c r="AB310" s="149"/>
    </row>
    <row r="311" spans="1:28" ht="11.25" customHeight="1" hidden="1">
      <c r="A311" s="432" t="s">
        <v>112</v>
      </c>
      <c r="B311" s="297" t="s">
        <v>10</v>
      </c>
      <c r="C311" s="298"/>
      <c r="D311" s="150"/>
      <c r="E311" s="151"/>
      <c r="F311" s="151"/>
      <c r="G311" s="152"/>
      <c r="H311" s="150">
        <f>+IF(AND(N8=5,I10="Muy bueno",I16&gt;=1),1,0)</f>
        <v>0</v>
      </c>
      <c r="I311" s="151">
        <f>+IF(AND(N8=5,I10="Alto riesgo",I16=0,V13=1),1,0)</f>
        <v>0</v>
      </c>
      <c r="J311" s="151"/>
      <c r="K311" s="152"/>
      <c r="L311" s="150">
        <f>+IF(AND(N8=5,V13=1),1,0)</f>
        <v>0</v>
      </c>
      <c r="M311" s="151"/>
      <c r="N311" s="151"/>
      <c r="O311" s="152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5"/>
      <c r="AB311" s="149"/>
    </row>
    <row r="312" spans="1:28" ht="11.25" customHeight="1" hidden="1">
      <c r="A312" s="433"/>
      <c r="B312" s="299"/>
      <c r="C312" s="300"/>
      <c r="D312" s="116"/>
      <c r="E312" s="117"/>
      <c r="F312" s="117"/>
      <c r="G312" s="117"/>
      <c r="H312" s="221">
        <f>+IF(AND(N8=5,I10="Muy bueno",I16=0,V13=1),1,0)</f>
        <v>0</v>
      </c>
      <c r="I312" s="117"/>
      <c r="J312" s="117"/>
      <c r="K312" s="118"/>
      <c r="L312" s="116"/>
      <c r="M312" s="117"/>
      <c r="N312" s="117"/>
      <c r="O312" s="118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5"/>
      <c r="AB312" s="149"/>
    </row>
    <row r="313" spans="1:28" ht="11.25" customHeight="1" hidden="1">
      <c r="A313" s="433"/>
      <c r="B313" s="299"/>
      <c r="C313" s="300"/>
      <c r="D313" s="116"/>
      <c r="E313" s="117"/>
      <c r="F313" s="117"/>
      <c r="G313" s="118"/>
      <c r="H313" s="116">
        <f>+IF(AND(N8=5,I10="Bueno",I16&gt;=1),1,0)</f>
        <v>0</v>
      </c>
      <c r="I313" s="117"/>
      <c r="J313" s="117"/>
      <c r="K313" s="118"/>
      <c r="L313" s="116"/>
      <c r="M313" s="117"/>
      <c r="N313" s="117"/>
      <c r="O313" s="118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5"/>
      <c r="AB313" s="149"/>
    </row>
    <row r="314" spans="1:28" ht="11.25" customHeight="1" hidden="1">
      <c r="A314" s="433"/>
      <c r="B314" s="299"/>
      <c r="C314" s="300"/>
      <c r="D314" s="116"/>
      <c r="E314" s="117"/>
      <c r="F314" s="117"/>
      <c r="G314" s="118"/>
      <c r="H314" s="116">
        <f>+IF(AND(N8=5,I10="Bueno",I16=0,V13=1),1,0)</f>
        <v>0</v>
      </c>
      <c r="I314" s="117"/>
      <c r="J314" s="117"/>
      <c r="K314" s="118"/>
      <c r="L314" s="116"/>
      <c r="M314" s="117"/>
      <c r="N314" s="117"/>
      <c r="O314" s="118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5"/>
      <c r="AB314" s="149"/>
    </row>
    <row r="315" spans="1:28" ht="11.25" customHeight="1" hidden="1">
      <c r="A315" s="433"/>
      <c r="B315" s="299"/>
      <c r="C315" s="300"/>
      <c r="D315" s="116"/>
      <c r="E315" s="117"/>
      <c r="F315" s="117"/>
      <c r="G315" s="117"/>
      <c r="H315" s="221">
        <f>+IF(AND(N8=5,I10="Regular",I16&gt;=1),1,0)</f>
        <v>0</v>
      </c>
      <c r="I315" s="117"/>
      <c r="J315" s="117"/>
      <c r="K315" s="118"/>
      <c r="L315" s="116"/>
      <c r="M315" s="117"/>
      <c r="N315" s="117"/>
      <c r="O315" s="118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5"/>
      <c r="AB315" s="149"/>
    </row>
    <row r="316" spans="1:28" ht="11.25" customHeight="1" hidden="1">
      <c r="A316" s="433"/>
      <c r="B316" s="299"/>
      <c r="C316" s="300"/>
      <c r="D316" s="116"/>
      <c r="E316" s="117"/>
      <c r="F316" s="117"/>
      <c r="G316" s="118"/>
      <c r="H316" s="116">
        <f>+IF(AND(N8=5,I10="Regular",I16=0,V13=1),1,0)</f>
        <v>0</v>
      </c>
      <c r="I316" s="117"/>
      <c r="J316" s="117"/>
      <c r="K316" s="118"/>
      <c r="L316" s="116"/>
      <c r="M316" s="117"/>
      <c r="N316" s="117"/>
      <c r="O316" s="118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5"/>
      <c r="AB316" s="149"/>
    </row>
    <row r="317" spans="1:28" ht="11.25" customHeight="1" hidden="1">
      <c r="A317" s="433"/>
      <c r="B317" s="299"/>
      <c r="C317" s="300"/>
      <c r="D317" s="116"/>
      <c r="E317" s="117"/>
      <c r="F317" s="117"/>
      <c r="G317" s="118"/>
      <c r="H317" s="154">
        <f>+IF(AND(S6=2,N8=5,I10="Sin habito de pago",I16=0,V13=1),1,0)</f>
        <v>0</v>
      </c>
      <c r="I317" s="117"/>
      <c r="J317" s="117"/>
      <c r="K317" s="118"/>
      <c r="L317" s="116"/>
      <c r="M317" s="117"/>
      <c r="N317" s="117"/>
      <c r="O317" s="118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5"/>
      <c r="AB317" s="149"/>
    </row>
    <row r="318" spans="1:28" ht="11.25" customHeight="1" hidden="1">
      <c r="A318" s="433"/>
      <c r="B318" s="299"/>
      <c r="C318" s="300"/>
      <c r="D318" s="116"/>
      <c r="E318" s="117"/>
      <c r="F318" s="117"/>
      <c r="G318" s="117"/>
      <c r="H318" s="222">
        <f>+IF(AND(S6=2,N8=5,I10="Sin habito de pago",I16&gt;=1,V13=1),1,0)</f>
        <v>0</v>
      </c>
      <c r="I318" s="117"/>
      <c r="J318" s="117"/>
      <c r="K318" s="118"/>
      <c r="L318" s="116"/>
      <c r="M318" s="117"/>
      <c r="N318" s="117"/>
      <c r="O318" s="118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5"/>
      <c r="AB318" s="149"/>
    </row>
    <row r="319" spans="1:28" ht="11.25" customHeight="1" hidden="1">
      <c r="A319" s="434"/>
      <c r="B319" s="301"/>
      <c r="C319" s="302"/>
      <c r="D319" s="129"/>
      <c r="E319" s="130"/>
      <c r="F319" s="130"/>
      <c r="G319" s="131"/>
      <c r="H319" s="129">
        <f>+IF(AND(N8=5,I10="Alto riesgo",I16&gt;=1),1,0)</f>
        <v>0</v>
      </c>
      <c r="I319" s="130"/>
      <c r="J319" s="130"/>
      <c r="K319" s="131"/>
      <c r="L319" s="129"/>
      <c r="M319" s="130"/>
      <c r="N319" s="130"/>
      <c r="O319" s="131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5"/>
      <c r="AB319" s="149"/>
    </row>
    <row r="320" spans="1:28" ht="11.25" customHeight="1" hidden="1">
      <c r="A320" s="96"/>
      <c r="B320" s="96"/>
      <c r="C320" s="96"/>
      <c r="D320" s="134" t="s">
        <v>22</v>
      </c>
      <c r="E320" s="96"/>
      <c r="F320" s="96">
        <f>+D321+D322+D323+D324+D325</f>
        <v>0</v>
      </c>
      <c r="G320" s="96"/>
      <c r="H320" s="97" t="s">
        <v>24</v>
      </c>
      <c r="I320" s="96"/>
      <c r="J320" s="96">
        <f>+H321+H322+H323+H324+H325+H326+H327+H328+H329+I321</f>
        <v>0</v>
      </c>
      <c r="K320" s="96"/>
      <c r="L320" s="134" t="s">
        <v>33</v>
      </c>
      <c r="M320" s="96"/>
      <c r="N320" s="96">
        <f>+L322+L323+L324+L325+L326+L327+L328</f>
        <v>0</v>
      </c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5"/>
      <c r="AB320" s="149"/>
    </row>
    <row r="321" spans="1:28" ht="11.25" customHeight="1" hidden="1">
      <c r="A321" s="432" t="s">
        <v>112</v>
      </c>
      <c r="B321" s="297" t="s">
        <v>11</v>
      </c>
      <c r="C321" s="298"/>
      <c r="D321" s="150"/>
      <c r="E321" s="151"/>
      <c r="F321" s="151"/>
      <c r="G321" s="152"/>
      <c r="H321" s="150">
        <f>+IF(AND(N8=6,I10="Muy bueno",I16&gt;=1),1,0)</f>
        <v>0</v>
      </c>
      <c r="I321" s="151">
        <f>+IF(AND(N8=6,I10="Alto riesgo",I16=0,V13=1),1,0)</f>
        <v>0</v>
      </c>
      <c r="J321" s="151"/>
      <c r="K321" s="152"/>
      <c r="L321" s="150">
        <f>+IF(AND(N8=5,V13=1),1,0)</f>
        <v>0</v>
      </c>
      <c r="M321" s="151"/>
      <c r="N321" s="151"/>
      <c r="O321" s="152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5"/>
      <c r="AB321" s="149"/>
    </row>
    <row r="322" spans="1:28" ht="11.25" customHeight="1" hidden="1">
      <c r="A322" s="433"/>
      <c r="B322" s="299"/>
      <c r="C322" s="300"/>
      <c r="D322" s="116"/>
      <c r="E322" s="117"/>
      <c r="F322" s="117"/>
      <c r="G322" s="117"/>
      <c r="H322" s="221">
        <f>+IF(AND(N8=6,I10="Muy bueno",I16=0,V13=1),1,0)</f>
        <v>0</v>
      </c>
      <c r="I322" s="117"/>
      <c r="J322" s="117"/>
      <c r="K322" s="118"/>
      <c r="L322" s="116"/>
      <c r="M322" s="117"/>
      <c r="N322" s="117"/>
      <c r="O322" s="118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5"/>
      <c r="AB322" s="149"/>
    </row>
    <row r="323" spans="1:28" ht="11.25" customHeight="1" hidden="1">
      <c r="A323" s="433"/>
      <c r="B323" s="299"/>
      <c r="C323" s="300"/>
      <c r="D323" s="116"/>
      <c r="E323" s="117"/>
      <c r="F323" s="117"/>
      <c r="G323" s="118"/>
      <c r="H323" s="116">
        <f>+IF(AND(N8=6,I10="Bueno",I16&gt;=1),1,0)</f>
        <v>0</v>
      </c>
      <c r="I323" s="117"/>
      <c r="J323" s="117"/>
      <c r="K323" s="118"/>
      <c r="L323" s="116"/>
      <c r="M323" s="117"/>
      <c r="N323" s="117"/>
      <c r="O323" s="118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5"/>
      <c r="AB323" s="149"/>
    </row>
    <row r="324" spans="1:28" ht="11.25" customHeight="1" hidden="1">
      <c r="A324" s="433"/>
      <c r="B324" s="299"/>
      <c r="C324" s="300"/>
      <c r="D324" s="116"/>
      <c r="E324" s="117"/>
      <c r="F324" s="117"/>
      <c r="G324" s="118"/>
      <c r="H324" s="116">
        <f>+IF(AND(N8=6,I10="Bueno",I16=0,V13=1),1,0)</f>
        <v>0</v>
      </c>
      <c r="I324" s="117"/>
      <c r="J324" s="117"/>
      <c r="K324" s="118"/>
      <c r="L324" s="116"/>
      <c r="M324" s="117"/>
      <c r="N324" s="117"/>
      <c r="O324" s="118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5"/>
      <c r="AB324" s="149"/>
    </row>
    <row r="325" spans="1:28" ht="11.25" customHeight="1" hidden="1">
      <c r="A325" s="433"/>
      <c r="B325" s="299"/>
      <c r="C325" s="300"/>
      <c r="D325" s="116"/>
      <c r="E325" s="117"/>
      <c r="F325" s="117"/>
      <c r="G325" s="117"/>
      <c r="H325" s="221">
        <f>+IF(AND(N8=6,I10="Regular",I16&gt;=1),1,0)</f>
        <v>0</v>
      </c>
      <c r="I325" s="117"/>
      <c r="J325" s="117"/>
      <c r="K325" s="118"/>
      <c r="L325" s="116"/>
      <c r="M325" s="117"/>
      <c r="N325" s="117"/>
      <c r="O325" s="118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5"/>
      <c r="AB325" s="149"/>
    </row>
    <row r="326" spans="1:28" ht="11.25" customHeight="1" hidden="1">
      <c r="A326" s="433"/>
      <c r="B326" s="299"/>
      <c r="C326" s="300"/>
      <c r="D326" s="116"/>
      <c r="E326" s="117"/>
      <c r="F326" s="117"/>
      <c r="G326" s="118"/>
      <c r="H326" s="116">
        <f>+IF(AND(N8=6,I10="Regular",I16=0,V13=1),1,0)</f>
        <v>0</v>
      </c>
      <c r="I326" s="117"/>
      <c r="J326" s="117"/>
      <c r="K326" s="118"/>
      <c r="L326" s="116"/>
      <c r="M326" s="117"/>
      <c r="N326" s="117"/>
      <c r="O326" s="118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5"/>
      <c r="AB326" s="149"/>
    </row>
    <row r="327" spans="1:28" ht="11.25" customHeight="1" hidden="1">
      <c r="A327" s="433"/>
      <c r="B327" s="299"/>
      <c r="C327" s="300"/>
      <c r="D327" s="116"/>
      <c r="E327" s="117"/>
      <c r="F327" s="117"/>
      <c r="G327" s="118"/>
      <c r="H327" s="154">
        <f>+IF(AND(S6=2,N8=6,I10="Sin habito de pago",I16=0,V13=1),1,0)</f>
        <v>0</v>
      </c>
      <c r="I327" s="117"/>
      <c r="J327" s="117"/>
      <c r="K327" s="118"/>
      <c r="L327" s="116"/>
      <c r="M327" s="117"/>
      <c r="N327" s="117"/>
      <c r="O327" s="118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5"/>
      <c r="AB327" s="149"/>
    </row>
    <row r="328" spans="1:28" ht="11.25" customHeight="1" hidden="1">
      <c r="A328" s="433"/>
      <c r="B328" s="299"/>
      <c r="C328" s="300"/>
      <c r="D328" s="116"/>
      <c r="E328" s="117"/>
      <c r="F328" s="117"/>
      <c r="G328" s="117"/>
      <c r="H328" s="222">
        <f>+IF(AND(S6=2,N8=6,I10="Sin habito de pago",I16&gt;=1,V13=1),1,0)</f>
        <v>0</v>
      </c>
      <c r="I328" s="117"/>
      <c r="J328" s="117"/>
      <c r="K328" s="118"/>
      <c r="L328" s="116"/>
      <c r="M328" s="117"/>
      <c r="N328" s="117"/>
      <c r="O328" s="118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5"/>
      <c r="AB328" s="149"/>
    </row>
    <row r="329" spans="1:28" ht="11.25" customHeight="1" hidden="1">
      <c r="A329" s="434"/>
      <c r="B329" s="301"/>
      <c r="C329" s="302"/>
      <c r="D329" s="129"/>
      <c r="E329" s="130"/>
      <c r="F329" s="130"/>
      <c r="G329" s="131"/>
      <c r="H329" s="129">
        <f>+IF(AND(N8=6,I10="Alto riesgo",I16&gt;=1),1,0)</f>
        <v>0</v>
      </c>
      <c r="I329" s="130"/>
      <c r="J329" s="130"/>
      <c r="K329" s="131"/>
      <c r="L329" s="129"/>
      <c r="M329" s="130"/>
      <c r="N329" s="130"/>
      <c r="O329" s="131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5"/>
      <c r="AB329" s="149"/>
    </row>
    <row r="330" spans="1:28" ht="11.25" customHeight="1" hidden="1">
      <c r="A330" s="96"/>
      <c r="B330" s="96"/>
      <c r="C330" s="96"/>
      <c r="D330" s="134" t="s">
        <v>22</v>
      </c>
      <c r="E330" s="96"/>
      <c r="F330" s="96"/>
      <c r="G330" s="96"/>
      <c r="H330" s="97" t="s">
        <v>24</v>
      </c>
      <c r="I330" s="96"/>
      <c r="J330" s="96">
        <f>+H331+H332+H333+H334+H335+H336+H337+H338</f>
        <v>0</v>
      </c>
      <c r="K330" s="96"/>
      <c r="L330" s="134" t="s">
        <v>33</v>
      </c>
      <c r="M330" s="96"/>
      <c r="N330" s="96">
        <f>+L331+L332+L333+L334+L335+L336+L337+L338</f>
        <v>0</v>
      </c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5"/>
      <c r="AB330" s="149"/>
    </row>
    <row r="331" spans="1:28" ht="11.25" customHeight="1" hidden="1">
      <c r="A331" s="432" t="s">
        <v>112</v>
      </c>
      <c r="B331" s="297" t="s">
        <v>79</v>
      </c>
      <c r="C331" s="298"/>
      <c r="D331" s="150">
        <f>+IF(N8=8,1,0)</f>
        <v>0</v>
      </c>
      <c r="E331" s="151"/>
      <c r="F331" s="151"/>
      <c r="G331" s="152"/>
      <c r="H331" s="150">
        <f>+IF(N8=8,1,0)</f>
        <v>0</v>
      </c>
      <c r="I331" s="151"/>
      <c r="J331" s="151"/>
      <c r="K331" s="152"/>
      <c r="L331" s="150">
        <f>+IF(N8=8,1,0)</f>
        <v>0</v>
      </c>
      <c r="M331" s="151"/>
      <c r="N331" s="151"/>
      <c r="O331" s="152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5"/>
      <c r="AB331" s="149"/>
    </row>
    <row r="332" spans="1:28" ht="11.25" customHeight="1" hidden="1">
      <c r="A332" s="433"/>
      <c r="B332" s="299"/>
      <c r="C332" s="300"/>
      <c r="D332" s="116"/>
      <c r="E332" s="117"/>
      <c r="F332" s="117"/>
      <c r="G332" s="118"/>
      <c r="H332" s="116"/>
      <c r="I332" s="117"/>
      <c r="J332" s="117"/>
      <c r="K332" s="118"/>
      <c r="L332" s="116"/>
      <c r="M332" s="117"/>
      <c r="N332" s="117"/>
      <c r="O332" s="118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5"/>
      <c r="AB332" s="149"/>
    </row>
    <row r="333" spans="1:28" ht="11.25" customHeight="1" hidden="1">
      <c r="A333" s="433"/>
      <c r="B333" s="299"/>
      <c r="C333" s="300"/>
      <c r="D333" s="116"/>
      <c r="E333" s="117"/>
      <c r="F333" s="117"/>
      <c r="G333" s="118"/>
      <c r="H333" s="116"/>
      <c r="I333" s="117"/>
      <c r="J333" s="117"/>
      <c r="K333" s="118"/>
      <c r="L333" s="116"/>
      <c r="M333" s="117"/>
      <c r="N333" s="117"/>
      <c r="O333" s="118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5"/>
      <c r="AB333" s="149"/>
    </row>
    <row r="334" spans="1:28" ht="11.25" customHeight="1" hidden="1">
      <c r="A334" s="433"/>
      <c r="B334" s="299"/>
      <c r="C334" s="300"/>
      <c r="D334" s="116"/>
      <c r="E334" s="117"/>
      <c r="F334" s="117"/>
      <c r="G334" s="118"/>
      <c r="H334" s="116"/>
      <c r="I334" s="117"/>
      <c r="J334" s="117"/>
      <c r="K334" s="118"/>
      <c r="L334" s="116"/>
      <c r="M334" s="117"/>
      <c r="N334" s="117"/>
      <c r="O334" s="118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5"/>
      <c r="AB334" s="149"/>
    </row>
    <row r="335" spans="1:28" ht="11.25" customHeight="1" hidden="1">
      <c r="A335" s="433"/>
      <c r="B335" s="299"/>
      <c r="C335" s="300"/>
      <c r="D335" s="116"/>
      <c r="E335" s="117"/>
      <c r="F335" s="117"/>
      <c r="G335" s="118"/>
      <c r="H335" s="116"/>
      <c r="I335" s="117"/>
      <c r="J335" s="117"/>
      <c r="K335" s="118"/>
      <c r="L335" s="116"/>
      <c r="M335" s="117"/>
      <c r="N335" s="117"/>
      <c r="O335" s="118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5"/>
      <c r="AB335" s="149"/>
    </row>
    <row r="336" spans="1:28" ht="11.25" customHeight="1" hidden="1">
      <c r="A336" s="433"/>
      <c r="B336" s="299"/>
      <c r="C336" s="300"/>
      <c r="D336" s="116"/>
      <c r="E336" s="117"/>
      <c r="F336" s="117"/>
      <c r="G336" s="118"/>
      <c r="H336" s="116"/>
      <c r="I336" s="117"/>
      <c r="J336" s="117"/>
      <c r="K336" s="118"/>
      <c r="L336" s="116"/>
      <c r="M336" s="117"/>
      <c r="N336" s="117"/>
      <c r="O336" s="118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5"/>
      <c r="AB336" s="149"/>
    </row>
    <row r="337" spans="1:28" ht="11.25" customHeight="1" hidden="1">
      <c r="A337" s="433"/>
      <c r="B337" s="299"/>
      <c r="C337" s="300"/>
      <c r="D337" s="116"/>
      <c r="E337" s="117"/>
      <c r="F337" s="117"/>
      <c r="G337" s="118"/>
      <c r="H337" s="116"/>
      <c r="I337" s="117"/>
      <c r="J337" s="117"/>
      <c r="K337" s="118"/>
      <c r="L337" s="116"/>
      <c r="M337" s="117"/>
      <c r="N337" s="117"/>
      <c r="O337" s="118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5"/>
      <c r="AB337" s="149"/>
    </row>
    <row r="338" spans="1:28" ht="11.25" customHeight="1" hidden="1">
      <c r="A338" s="433"/>
      <c r="B338" s="299"/>
      <c r="C338" s="300"/>
      <c r="D338" s="116"/>
      <c r="E338" s="117"/>
      <c r="F338" s="117"/>
      <c r="G338" s="118"/>
      <c r="H338" s="116"/>
      <c r="I338" s="117"/>
      <c r="J338" s="117"/>
      <c r="K338" s="118"/>
      <c r="L338" s="116"/>
      <c r="M338" s="117"/>
      <c r="N338" s="117"/>
      <c r="O338" s="118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5"/>
      <c r="AB338" s="149"/>
    </row>
    <row r="339" spans="1:28" ht="11.25" customHeight="1" hidden="1">
      <c r="A339" s="434"/>
      <c r="B339" s="301"/>
      <c r="C339" s="302"/>
      <c r="D339" s="129"/>
      <c r="E339" s="130"/>
      <c r="F339" s="130"/>
      <c r="G339" s="131"/>
      <c r="H339" s="129"/>
      <c r="I339" s="130"/>
      <c r="J339" s="130"/>
      <c r="K339" s="131"/>
      <c r="L339" s="129"/>
      <c r="M339" s="130"/>
      <c r="N339" s="130"/>
      <c r="O339" s="131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5"/>
      <c r="AB339" s="149"/>
    </row>
    <row r="340" spans="1:28" ht="11.25" customHeight="1" hidden="1">
      <c r="A340" s="156"/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7"/>
      <c r="AB340" s="158"/>
    </row>
    <row r="341" spans="1:28" ht="11.25" customHeight="1" hidden="1">
      <c r="A341" s="156"/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7"/>
      <c r="AB341" s="158"/>
    </row>
    <row r="342" spans="1:28" ht="11.25" customHeight="1" hidden="1">
      <c r="A342" s="156"/>
      <c r="B342" s="156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7"/>
      <c r="AB342" s="158"/>
    </row>
    <row r="343" spans="1:28" ht="11.25" customHeight="1" hidden="1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7"/>
      <c r="AB343" s="158"/>
    </row>
    <row r="344" spans="1:28" ht="11.25" customHeight="1" hidden="1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7"/>
      <c r="AB344" s="158"/>
    </row>
    <row r="345" spans="1:28" ht="11.25" customHeight="1" hidden="1">
      <c r="A345" s="156"/>
      <c r="B345" s="156"/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7"/>
      <c r="AB345" s="158"/>
    </row>
    <row r="346" spans="1:28" ht="11.25" customHeight="1" hidden="1">
      <c r="A346" s="156"/>
      <c r="B346" s="156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7"/>
      <c r="AB346" s="158"/>
    </row>
    <row r="347" spans="1:28" ht="11.25" customHeight="1" hidden="1">
      <c r="A347" s="156"/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7"/>
      <c r="AB347" s="158"/>
    </row>
    <row r="348" spans="1:28" ht="11.25" customHeight="1" hidden="1">
      <c r="A348" s="156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7"/>
      <c r="AB348" s="158"/>
    </row>
    <row r="349" spans="1:28" ht="11.25" customHeight="1" hidden="1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7"/>
      <c r="AB349" s="158"/>
    </row>
    <row r="350" spans="1:28" ht="11.25" customHeight="1" hidden="1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7"/>
      <c r="AB350" s="158"/>
    </row>
    <row r="351" spans="1:28" ht="11.25" customHeight="1" hidden="1">
      <c r="A351" s="156"/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7"/>
      <c r="AB351" s="158"/>
    </row>
    <row r="352" spans="1:28" ht="11.25" customHeight="1" hidden="1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7"/>
      <c r="AB352" s="158"/>
    </row>
    <row r="353" spans="1:79" s="96" customFormat="1" ht="11.25" customHeight="1" hidden="1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7"/>
      <c r="AB353" s="158"/>
      <c r="AC353" s="95"/>
      <c r="AD353" s="95"/>
      <c r="AE353" s="95"/>
      <c r="AV353" s="97"/>
      <c r="AW353" s="97"/>
      <c r="AX353" s="97"/>
      <c r="AY353" s="97"/>
      <c r="BS353" s="97"/>
      <c r="BX353" s="98"/>
      <c r="BY353" s="98"/>
      <c r="CA353" s="98"/>
    </row>
    <row r="354" spans="1:79" s="96" customFormat="1" ht="11.25" customHeight="1" hidden="1">
      <c r="A354" s="156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7"/>
      <c r="AB354" s="158"/>
      <c r="AC354" s="95"/>
      <c r="AD354" s="95"/>
      <c r="AE354" s="95"/>
      <c r="AV354" s="97"/>
      <c r="AW354" s="97"/>
      <c r="AX354" s="97"/>
      <c r="AY354" s="97"/>
      <c r="BS354" s="97"/>
      <c r="BX354" s="98"/>
      <c r="BY354" s="98"/>
      <c r="CA354" s="98"/>
    </row>
    <row r="355" spans="1:112" s="94" customFormat="1" ht="11.25" customHeight="1" hidden="1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2"/>
      <c r="AB355" s="93"/>
      <c r="AC355" s="95"/>
      <c r="AD355" s="95"/>
      <c r="AE355" s="95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7"/>
      <c r="AW355" s="97"/>
      <c r="AX355" s="97"/>
      <c r="AY355" s="97"/>
      <c r="AZ355" s="96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6"/>
      <c r="BS355" s="97"/>
      <c r="BT355" s="96"/>
      <c r="BU355" s="96"/>
      <c r="BV355" s="96"/>
      <c r="BW355" s="96"/>
      <c r="BX355" s="98"/>
      <c r="BY355" s="98"/>
      <c r="BZ355" s="96"/>
      <c r="CA355" s="98"/>
      <c r="CB355" s="96"/>
      <c r="CC355" s="96"/>
      <c r="CD355" s="96"/>
      <c r="CE355" s="96"/>
      <c r="CF355" s="96"/>
      <c r="CG355" s="96"/>
      <c r="CH355" s="96"/>
      <c r="CI355" s="96"/>
      <c r="CJ355" s="96"/>
      <c r="CK355" s="96"/>
      <c r="CL355" s="96"/>
      <c r="CM355" s="96"/>
      <c r="CN355" s="96"/>
      <c r="CO355" s="96"/>
      <c r="CP355" s="96"/>
      <c r="CQ355" s="96"/>
      <c r="CR355" s="96"/>
      <c r="CS355" s="96"/>
      <c r="CT355" s="96"/>
      <c r="CU355" s="96"/>
      <c r="CV355" s="96"/>
      <c r="CW355" s="96"/>
      <c r="CX355" s="96"/>
      <c r="CY355" s="96"/>
      <c r="CZ355" s="96"/>
      <c r="DA355" s="90"/>
      <c r="DB355" s="90"/>
      <c r="DC355" s="90"/>
      <c r="DD355" s="90"/>
      <c r="DE355" s="90"/>
      <c r="DF355" s="90"/>
      <c r="DG355" s="90"/>
      <c r="DH355" s="90"/>
    </row>
    <row r="356" ht="11.25" customHeight="1" hidden="1"/>
    <row r="357" ht="11.25" customHeight="1" hidden="1"/>
    <row r="358" ht="11.25" customHeight="1" hidden="1"/>
    <row r="359" ht="11.25" customHeight="1" hidden="1"/>
    <row r="360" ht="2.25" customHeight="1"/>
    <row r="361" ht="2.25" customHeight="1"/>
    <row r="362" ht="2.25" customHeight="1"/>
    <row r="363" ht="2.25" customHeight="1"/>
    <row r="364" ht="2.25" customHeight="1"/>
    <row r="365" ht="2.25" customHeight="1"/>
    <row r="366" ht="2.25" customHeight="1"/>
    <row r="367" ht="2.25" customHeight="1"/>
    <row r="368" ht="2.25" customHeight="1"/>
    <row r="369" ht="2.25" customHeight="1"/>
    <row r="370" ht="2.25" customHeight="1"/>
    <row r="371" ht="2.25" customHeight="1"/>
    <row r="372" ht="2.25" customHeight="1"/>
    <row r="373" ht="2.25" customHeight="1"/>
    <row r="374" ht="2.25" customHeight="1"/>
    <row r="375" ht="2.25" customHeight="1"/>
    <row r="376" ht="2.25" customHeight="1"/>
    <row r="377" ht="2.25" customHeight="1"/>
    <row r="378" ht="2.25" customHeight="1"/>
    <row r="379" ht="2.25" customHeight="1"/>
    <row r="380" ht="2.25" customHeight="1"/>
    <row r="381" ht="2.25" customHeight="1"/>
    <row r="382" ht="2.25" customHeight="1"/>
    <row r="383" ht="2.25" customHeight="1"/>
    <row r="384" ht="2.25" customHeight="1"/>
    <row r="385" ht="2.25" customHeight="1"/>
    <row r="386" ht="2.25" customHeight="1"/>
    <row r="387" ht="2.25" customHeight="1"/>
    <row r="388" ht="2.25" customHeight="1"/>
    <row r="389" ht="2.25" customHeight="1"/>
    <row r="390" ht="2.25" customHeight="1"/>
    <row r="391" ht="2.25" customHeight="1"/>
    <row r="392" ht="2.25" customHeight="1"/>
    <row r="393" ht="2.25" customHeight="1"/>
    <row r="394" ht="2.25" customHeight="1"/>
    <row r="395" ht="2.25" customHeight="1"/>
    <row r="396" ht="2.25" customHeight="1"/>
    <row r="397" ht="2.25" customHeight="1"/>
    <row r="398" ht="2.25" customHeight="1"/>
    <row r="399" ht="2.25" customHeight="1"/>
    <row r="400" ht="2.25" customHeight="1"/>
    <row r="401" ht="2.25" customHeight="1"/>
    <row r="402" ht="2.25" customHeight="1"/>
    <row r="403" ht="2.25" customHeight="1"/>
    <row r="404" ht="2.25" customHeight="1"/>
    <row r="405" ht="2.25" customHeight="1"/>
    <row r="406" ht="2.25" customHeight="1"/>
    <row r="407" ht="2.25" customHeight="1"/>
    <row r="408" ht="2.25" customHeight="1"/>
    <row r="409" ht="2.25" customHeight="1"/>
    <row r="410" ht="2.25" customHeight="1"/>
  </sheetData>
  <sheetProtection password="CC47" sheet="1" selectLockedCells="1"/>
  <mergeCells count="219">
    <mergeCell ref="J28:Y28"/>
    <mergeCell ref="B4:F4"/>
    <mergeCell ref="S8:U8"/>
    <mergeCell ref="B218:C226"/>
    <mergeCell ref="B208:C216"/>
    <mergeCell ref="O48:Q48"/>
    <mergeCell ref="K32:AA32"/>
    <mergeCell ref="D30:G30"/>
    <mergeCell ref="D21:V21"/>
    <mergeCell ref="D28:G28"/>
    <mergeCell ref="B198:C206"/>
    <mergeCell ref="B135:C143"/>
    <mergeCell ref="A135:A143"/>
    <mergeCell ref="A155:A163"/>
    <mergeCell ref="A62:A70"/>
    <mergeCell ref="A112:A120"/>
    <mergeCell ref="A125:A133"/>
    <mergeCell ref="B125:C133"/>
    <mergeCell ref="A175:A183"/>
    <mergeCell ref="A198:A206"/>
    <mergeCell ref="A52:A60"/>
    <mergeCell ref="A145:A153"/>
    <mergeCell ref="O45:Q46"/>
    <mergeCell ref="B45:N45"/>
    <mergeCell ref="A102:A110"/>
    <mergeCell ref="B145:C153"/>
    <mergeCell ref="A72:A80"/>
    <mergeCell ref="B92:C100"/>
    <mergeCell ref="A92:A100"/>
    <mergeCell ref="A82:A90"/>
    <mergeCell ref="D29:G29"/>
    <mergeCell ref="B175:C183"/>
    <mergeCell ref="B112:C120"/>
    <mergeCell ref="B72:C80"/>
    <mergeCell ref="D32:G32"/>
    <mergeCell ref="B185:C193"/>
    <mergeCell ref="B52:C60"/>
    <mergeCell ref="B62:C70"/>
    <mergeCell ref="B155:C163"/>
    <mergeCell ref="B331:C339"/>
    <mergeCell ref="A311:A319"/>
    <mergeCell ref="B311:C319"/>
    <mergeCell ref="A321:A329"/>
    <mergeCell ref="B321:C329"/>
    <mergeCell ref="A331:A339"/>
    <mergeCell ref="AZ19:AZ20"/>
    <mergeCell ref="AZ21:AZ22"/>
    <mergeCell ref="AZ23:AZ24"/>
    <mergeCell ref="O47:AA47"/>
    <mergeCell ref="D37:AA37"/>
    <mergeCell ref="B47:N48"/>
    <mergeCell ref="B20:C20"/>
    <mergeCell ref="D20:V20"/>
    <mergeCell ref="H34:I34"/>
    <mergeCell ref="D33:F33"/>
    <mergeCell ref="A185:A193"/>
    <mergeCell ref="A208:A216"/>
    <mergeCell ref="A301:A309"/>
    <mergeCell ref="B301:C309"/>
    <mergeCell ref="A281:A289"/>
    <mergeCell ref="B281:C289"/>
    <mergeCell ref="B291:C299"/>
    <mergeCell ref="B271:C279"/>
    <mergeCell ref="A291:A299"/>
    <mergeCell ref="A258:A266"/>
    <mergeCell ref="B258:C266"/>
    <mergeCell ref="A271:A279"/>
    <mergeCell ref="B238:C246"/>
    <mergeCell ref="A248:A256"/>
    <mergeCell ref="BM40:BN40"/>
    <mergeCell ref="BB42:BC42"/>
    <mergeCell ref="O39:AA40"/>
    <mergeCell ref="BM39:BN39"/>
    <mergeCell ref="B228:C236"/>
    <mergeCell ref="B102:C110"/>
    <mergeCell ref="A165:A173"/>
    <mergeCell ref="A228:A236"/>
    <mergeCell ref="BB43:BC43"/>
    <mergeCell ref="B43:N43"/>
    <mergeCell ref="B38:AA38"/>
    <mergeCell ref="B39:N39"/>
    <mergeCell ref="O43:Q44"/>
    <mergeCell ref="R41:AA42"/>
    <mergeCell ref="BB44:BC44"/>
    <mergeCell ref="BB40:BC40"/>
    <mergeCell ref="BB41:BC41"/>
    <mergeCell ref="R43:AA44"/>
    <mergeCell ref="BM37:BN37"/>
    <mergeCell ref="D6:H6"/>
    <mergeCell ref="N6:O6"/>
    <mergeCell ref="P10:Q10"/>
    <mergeCell ref="R10:T10"/>
    <mergeCell ref="I8:L8"/>
    <mergeCell ref="D8:H8"/>
    <mergeCell ref="D10:H10"/>
    <mergeCell ref="I10:L10"/>
    <mergeCell ref="H28:I28"/>
    <mergeCell ref="CF37:CH37"/>
    <mergeCell ref="I6:L6"/>
    <mergeCell ref="CB38:CC38"/>
    <mergeCell ref="B2:U2"/>
    <mergeCell ref="P6:R6"/>
    <mergeCell ref="G4:Q4"/>
    <mergeCell ref="BZ36:CH36"/>
    <mergeCell ref="BM36:BU36"/>
    <mergeCell ref="BM38:BN38"/>
    <mergeCell ref="V2:AA2"/>
    <mergeCell ref="BS37:BU37"/>
    <mergeCell ref="BO37:BP37"/>
    <mergeCell ref="CB37:CC37"/>
    <mergeCell ref="CD39:CE39"/>
    <mergeCell ref="BZ37:CA37"/>
    <mergeCell ref="BQ37:BR37"/>
    <mergeCell ref="CD37:CE37"/>
    <mergeCell ref="BO39:BP39"/>
    <mergeCell ref="BZ40:CA40"/>
    <mergeCell ref="BZ39:CA39"/>
    <mergeCell ref="CF40:CH40"/>
    <mergeCell ref="CF38:CH38"/>
    <mergeCell ref="BZ38:CA38"/>
    <mergeCell ref="CB39:CC39"/>
    <mergeCell ref="CD38:CE38"/>
    <mergeCell ref="CF39:CH39"/>
    <mergeCell ref="BS40:BU40"/>
    <mergeCell ref="BQ38:BR38"/>
    <mergeCell ref="BQ39:BR39"/>
    <mergeCell ref="BS38:BU38"/>
    <mergeCell ref="BS39:BU39"/>
    <mergeCell ref="BO38:BP38"/>
    <mergeCell ref="BF8:BH8"/>
    <mergeCell ref="BB39:BC39"/>
    <mergeCell ref="BH36:BI36"/>
    <mergeCell ref="BD36:BE36"/>
    <mergeCell ref="BB38:BC38"/>
    <mergeCell ref="BF36:BG36"/>
    <mergeCell ref="BB37:BC37"/>
    <mergeCell ref="BC8:BE8"/>
    <mergeCell ref="AM4:AM9"/>
    <mergeCell ref="Y4:AA4"/>
    <mergeCell ref="W1:Z1"/>
    <mergeCell ref="I13:L13"/>
    <mergeCell ref="T1:U1"/>
    <mergeCell ref="AC8:AC13"/>
    <mergeCell ref="AJ10:AK10"/>
    <mergeCell ref="B1:I1"/>
    <mergeCell ref="J1:M1"/>
    <mergeCell ref="N12:O12"/>
    <mergeCell ref="Q1:S1"/>
    <mergeCell ref="T6:U6"/>
    <mergeCell ref="V6:Y6"/>
    <mergeCell ref="D16:H16"/>
    <mergeCell ref="O8:P8"/>
    <mergeCell ref="N16:P16"/>
    <mergeCell ref="Q15:R15"/>
    <mergeCell ref="Y8:Y14"/>
    <mergeCell ref="D13:H13"/>
    <mergeCell ref="Q12:W12"/>
    <mergeCell ref="BM1:BP1"/>
    <mergeCell ref="BM2:BP2"/>
    <mergeCell ref="BO8:BP8"/>
    <mergeCell ref="BK1:BL1"/>
    <mergeCell ref="BK2:BL2"/>
    <mergeCell ref="BI8:BK8"/>
    <mergeCell ref="AL4:AL9"/>
    <mergeCell ref="B165:C173"/>
    <mergeCell ref="T53:V53"/>
    <mergeCell ref="B49:AA49"/>
    <mergeCell ref="B44:N44"/>
    <mergeCell ref="H30:I30"/>
    <mergeCell ref="D31:G31"/>
    <mergeCell ref="D35:G35"/>
    <mergeCell ref="B41:N41"/>
    <mergeCell ref="AJ16:AK16"/>
    <mergeCell ref="AJ13:AK13"/>
    <mergeCell ref="AJ11:AK11"/>
    <mergeCell ref="AJ12:AK12"/>
    <mergeCell ref="AJ15:AK15"/>
    <mergeCell ref="AJ14:AK14"/>
    <mergeCell ref="AB8:AB13"/>
    <mergeCell ref="Z8:Z14"/>
    <mergeCell ref="J30:Y30"/>
    <mergeCell ref="H32:J32"/>
    <mergeCell ref="AE8:AE13"/>
    <mergeCell ref="N13:O13"/>
    <mergeCell ref="T18:Z18"/>
    <mergeCell ref="Y24:AA24"/>
    <mergeCell ref="D22:V22"/>
    <mergeCell ref="D19:V19"/>
    <mergeCell ref="D24:M24"/>
    <mergeCell ref="I16:K16"/>
    <mergeCell ref="AD8:AD13"/>
    <mergeCell ref="B26:AA26"/>
    <mergeCell ref="B27:AA27"/>
    <mergeCell ref="N24:O24"/>
    <mergeCell ref="T16:V17"/>
    <mergeCell ref="D17:G17"/>
    <mergeCell ref="Q16:R16"/>
    <mergeCell ref="D18:R18"/>
    <mergeCell ref="Q17:R17"/>
    <mergeCell ref="AO127:AT127"/>
    <mergeCell ref="W48:AA48"/>
    <mergeCell ref="U36:AA36"/>
    <mergeCell ref="B82:C90"/>
    <mergeCell ref="H36:T36"/>
    <mergeCell ref="B42:N42"/>
    <mergeCell ref="B40:N40"/>
    <mergeCell ref="O41:Q42"/>
    <mergeCell ref="B28:B37"/>
    <mergeCell ref="AG28:AJ28"/>
    <mergeCell ref="B248:C256"/>
    <mergeCell ref="A218:A226"/>
    <mergeCell ref="R48:T48"/>
    <mergeCell ref="D34:G34"/>
    <mergeCell ref="R45:AA46"/>
    <mergeCell ref="U48:V48"/>
    <mergeCell ref="J34:AA34"/>
    <mergeCell ref="B46:N46"/>
    <mergeCell ref="D36:G36"/>
    <mergeCell ref="A238:A246"/>
  </mergeCells>
  <conditionalFormatting sqref="Q14">
    <cfRule type="cellIs" priority="80" dxfId="66" operator="equal" stopIfTrue="1">
      <formula>""</formula>
    </cfRule>
  </conditionalFormatting>
  <conditionalFormatting sqref="R4">
    <cfRule type="cellIs" priority="92" dxfId="5" operator="notEqual" stopIfTrue="1">
      <formula>""</formula>
    </cfRule>
    <cfRule type="expression" priority="93" dxfId="255" stopIfTrue="1">
      <formula>Consulta!$G$4=""</formula>
    </cfRule>
  </conditionalFormatting>
  <conditionalFormatting sqref="D24:M24">
    <cfRule type="cellIs" priority="81" dxfId="251" operator="equal" stopIfTrue="1">
      <formula>""</formula>
    </cfRule>
  </conditionalFormatting>
  <conditionalFormatting sqref="P14">
    <cfRule type="cellIs" priority="85" dxfId="250" operator="equal" stopIfTrue="1">
      <formula>"Gama"</formula>
    </cfRule>
  </conditionalFormatting>
  <conditionalFormatting sqref="O38:AB38 O41:O47 AB41:AB48 P41:AA46 B38:N48">
    <cfRule type="cellIs" priority="87" dxfId="249" operator="equal" stopIfTrue="1">
      <formula>""</formula>
    </cfRule>
  </conditionalFormatting>
  <conditionalFormatting sqref="O39:AB40">
    <cfRule type="cellIs" priority="88" dxfId="248" operator="equal" stopIfTrue="1">
      <formula>""</formula>
    </cfRule>
  </conditionalFormatting>
  <conditionalFormatting sqref="N12:O12">
    <cfRule type="expression" priority="77" dxfId="247" stopIfTrue="1">
      <formula>Consulta!$O$10=1</formula>
    </cfRule>
  </conditionalFormatting>
  <conditionalFormatting sqref="O48:AA48">
    <cfRule type="expression" priority="75" dxfId="246" stopIfTrue="1">
      <formula>Consulta!$O$47=""</formula>
    </cfRule>
  </conditionalFormatting>
  <conditionalFormatting sqref="D17:G17">
    <cfRule type="cellIs" priority="117" dxfId="146" operator="equal" stopIfTrue="1">
      <formula>"ERROR, iPhone N/A"</formula>
    </cfRule>
    <cfRule type="cellIs" priority="118" dxfId="146" operator="equal" stopIfTrue="1">
      <formula>"ERROR, Comp pago"</formula>
    </cfRule>
    <cfRule type="cellIs" priority="119" dxfId="146" operator="equal" stopIfTrue="1">
      <formula>"ERROR, Tipo de plan"</formula>
    </cfRule>
  </conditionalFormatting>
  <conditionalFormatting sqref="B4 D22:V22 Y8:Z17">
    <cfRule type="cellIs" priority="120" dxfId="17" operator="equal" stopIfTrue="1">
      <formula>""</formula>
    </cfRule>
  </conditionalFormatting>
  <conditionalFormatting sqref="G4:Q4">
    <cfRule type="cellIs" priority="121" dxfId="241" operator="equal" stopIfTrue="1">
      <formula>""</formula>
    </cfRule>
  </conditionalFormatting>
  <conditionalFormatting sqref="Q13">
    <cfRule type="cellIs" priority="122" dxfId="240" operator="equal" stopIfTrue="1">
      <formula>"Gama"</formula>
    </cfRule>
  </conditionalFormatting>
  <conditionalFormatting sqref="R13">
    <cfRule type="cellIs" priority="123" dxfId="239" operator="notEqual" stopIfTrue="1">
      <formula>""</formula>
    </cfRule>
  </conditionalFormatting>
  <conditionalFormatting sqref="D18:R18 T18:Z18">
    <cfRule type="expression" priority="124" dxfId="163" stopIfTrue="1">
      <formula>Consulta!$T$16&lt;&gt;""</formula>
    </cfRule>
  </conditionalFormatting>
  <conditionalFormatting sqref="P6:R6">
    <cfRule type="expression" priority="126" dxfId="66" stopIfTrue="1">
      <formula>AND(Consulta!$P$6="",Consulta!$I$6&lt;&gt;"",Consulta!$N$1&lt;&gt;2)</formula>
    </cfRule>
    <cfRule type="expression" priority="127" dxfId="256" stopIfTrue="1">
      <formula>OR(Consulta!$I$6="",Consulta!$N$1=2)</formula>
    </cfRule>
  </conditionalFormatting>
  <conditionalFormatting sqref="V6:Y6">
    <cfRule type="expression" priority="128" dxfId="66" stopIfTrue="1">
      <formula>AND(Consulta!$V$6="",Consulta!$I$6&lt;&gt;"")</formula>
    </cfRule>
    <cfRule type="expression" priority="129" dxfId="256" stopIfTrue="1">
      <formula>Consulta!$I$6=""</formula>
    </cfRule>
  </conditionalFormatting>
  <conditionalFormatting sqref="D19:V19">
    <cfRule type="cellIs" priority="130" dxfId="256" operator="equal" stopIfTrue="1">
      <formula>""</formula>
    </cfRule>
    <cfRule type="cellIs" priority="131" dxfId="232" operator="equal" stopIfTrue="1">
      <formula>"Puede ofrecer: Sin estudio de crédito (NO APLICA PARA CESION)"</formula>
    </cfRule>
  </conditionalFormatting>
  <conditionalFormatting sqref="D20:V20">
    <cfRule type="cellIs" priority="132" dxfId="256" operator="equal" stopIfTrue="1">
      <formula>""</formula>
    </cfRule>
    <cfRule type="cellIs" priority="133" dxfId="5" operator="equal" stopIfTrue="1">
      <formula>"El cliente puede activar planes gama baja mixtos con equipo traído"</formula>
    </cfRule>
  </conditionalFormatting>
  <conditionalFormatting sqref="D21:V21">
    <cfRule type="cellIs" priority="136" dxfId="256" operator="equal" stopIfTrue="1">
      <formula>""</formula>
    </cfRule>
    <cfRule type="cellIs" priority="137" dxfId="257" operator="equal" stopIfTrue="1">
      <formula>"Aplica Sin soportes - Sin visita - Modulo Online - CON consulta evidente - CON movil traido - SOLO para planes según condiciones. Para los demas planes o con movil de Claro seleccione la opcion con estudio de credito"</formula>
    </cfRule>
    <cfRule type="cellIs" priority="138" dxfId="257" operator="equal" stopIfTrue="1">
      <formula>"Aplica Sin soportes - Sin visita - Modulo Online - SIN consulta evidente - CON Movil traido - SOLO para planes según condiciones - SOLO con cedula ciudadania. Para los demás planes o con equipo de comcel seleccione la opción como Estrategia Prepago"</formula>
    </cfRule>
  </conditionalFormatting>
  <conditionalFormatting sqref="J1:M1">
    <cfRule type="cellIs" priority="43" dxfId="226" operator="equal">
      <formula>"COSTA"</formula>
    </cfRule>
    <cfRule type="cellIs" priority="53" dxfId="225" operator="notEqual">
      <formula>""</formula>
    </cfRule>
  </conditionalFormatting>
  <conditionalFormatting sqref="AP20">
    <cfRule type="cellIs" priority="51" dxfId="70" operator="equal" stopIfTrue="1">
      <formula>""</formula>
    </cfRule>
    <cfRule type="cellIs" priority="52" dxfId="70" operator="notEqual" stopIfTrue="1">
      <formula>""</formula>
    </cfRule>
  </conditionalFormatting>
  <conditionalFormatting sqref="AG28:AJ28">
    <cfRule type="cellIs" priority="50" dxfId="171" operator="equal" stopIfTrue="1">
      <formula>"Error Observaciones"</formula>
    </cfRule>
  </conditionalFormatting>
  <conditionalFormatting sqref="P10:Q10">
    <cfRule type="expression" priority="49" dxfId="258" stopIfTrue="1">
      <formula>Consulta!$P$10=""</formula>
    </cfRule>
  </conditionalFormatting>
  <conditionalFormatting sqref="R10:T10">
    <cfRule type="expression" priority="47" dxfId="256" stopIfTrue="1">
      <formula>Consulta!$P$10=""</formula>
    </cfRule>
    <cfRule type="expression" priority="48" dxfId="66" stopIfTrue="1">
      <formula>AND(Consulta!$R$10="",Consulta!$P$10&lt;&gt;"")</formula>
    </cfRule>
  </conditionalFormatting>
  <conditionalFormatting sqref="A125:A133 A135:A143 A145:A153 A155:A163 A165:A173 A175:A183 A185:A193">
    <cfRule type="cellIs" priority="46" dxfId="217" operator="equal" stopIfTrue="1">
      <formula>"DATOS"</formula>
    </cfRule>
  </conditionalFormatting>
  <conditionalFormatting sqref="F123 J123 N123">
    <cfRule type="cellIs" priority="45" dxfId="217" operator="notEqual" stopIfTrue="1">
      <formula>""</formula>
    </cfRule>
  </conditionalFormatting>
  <conditionalFormatting sqref="A52:A60 A62:A70 A72:A80 A82:A90 A92:A100 A102:A110 A112:A120 A198:A206 A248:A256 A208:A216 A218:A226 A228:A236 A238:A246 A258:A266 A271:A279 A321:A329 A281:A289 A291:A299 A301:A309 A311:A319 A331:A339">
    <cfRule type="cellIs" priority="44" dxfId="216" operator="equal" stopIfTrue="1">
      <formula>"voz"</formula>
    </cfRule>
  </conditionalFormatting>
  <conditionalFormatting sqref="T6:U6">
    <cfRule type="expression" priority="42" dxfId="25">
      <formula>Consulta!$I$6=""</formula>
    </cfRule>
  </conditionalFormatting>
  <conditionalFormatting sqref="N6:O6">
    <cfRule type="cellIs" priority="41" dxfId="25" operator="equal">
      <formula>""</formula>
    </cfRule>
  </conditionalFormatting>
  <conditionalFormatting sqref="U36:AA36 B28:C37 D35:G35 G33:AA33 B27:AA27 D31:G31 D29:G29 J34 Z28:AA31 J29:Y29 J31:Y31 K32 J35:AA35">
    <cfRule type="expression" priority="148" dxfId="66" stopIfTrue="1">
      <formula>Consulta!$S$24=3</formula>
    </cfRule>
  </conditionalFormatting>
  <conditionalFormatting sqref="D36:T36 D34:I34 D30:I30 D28:I28 D32:G32">
    <cfRule type="expression" priority="160" dxfId="259" stopIfTrue="1">
      <formula>Consulta!$S$24=4</formula>
    </cfRule>
  </conditionalFormatting>
  <conditionalFormatting sqref="H29:I29 H31:I31 H35:I35">
    <cfRule type="expression" priority="165" dxfId="211" stopIfTrue="1">
      <formula>Consulta!$S$24=3</formula>
    </cfRule>
  </conditionalFormatting>
  <conditionalFormatting sqref="D37:AA37">
    <cfRule type="expression" priority="168" dxfId="210" stopIfTrue="1">
      <formula>Consulta!$S$24=3</formula>
    </cfRule>
    <cfRule type="cellIs" priority="169" dxfId="209" operator="equal" stopIfTrue="1">
      <formula>"Para este caso se cancela 3 CFM por anticipado"</formula>
    </cfRule>
  </conditionalFormatting>
  <conditionalFormatting sqref="E25:M25">
    <cfRule type="expression" priority="38" dxfId="103">
      <formula>Consulta!$D$24=""</formula>
    </cfRule>
  </conditionalFormatting>
  <conditionalFormatting sqref="C6">
    <cfRule type="expression" priority="170" dxfId="199" stopIfTrue="1">
      <formula>AND(Consulta!$L$7=0,Consulta!$J$1&lt;&gt;"")</formula>
    </cfRule>
  </conditionalFormatting>
  <conditionalFormatting sqref="E23:M23">
    <cfRule type="expression" priority="237" dxfId="206" stopIfTrue="1">
      <formula>Consulta!$D$24=""</formula>
    </cfRule>
    <cfRule type="expression" priority="238" dxfId="260" stopIfTrue="1">
      <formula>Consulta!$D$22=""</formula>
    </cfRule>
  </conditionalFormatting>
  <conditionalFormatting sqref="Y7">
    <cfRule type="expression" priority="239" dxfId="82" stopIfTrue="1">
      <formula>Consulta!$Y$8=""</formula>
    </cfRule>
  </conditionalFormatting>
  <conditionalFormatting sqref="Z7">
    <cfRule type="expression" priority="240" dxfId="82" stopIfTrue="1">
      <formula>Consulta!$Z$8=""</formula>
    </cfRule>
  </conditionalFormatting>
  <conditionalFormatting sqref="N24:O24">
    <cfRule type="expression" priority="309" dxfId="256" stopIfTrue="1">
      <formula>Consulta!$D$24=""</formula>
    </cfRule>
  </conditionalFormatting>
  <conditionalFormatting sqref="P24">
    <cfRule type="expression" priority="310" dxfId="0" stopIfTrue="1">
      <formula>Consulta!$D$24=""</formula>
    </cfRule>
  </conditionalFormatting>
  <conditionalFormatting sqref="J30:Y30">
    <cfRule type="expression" priority="311" dxfId="66" stopIfTrue="1">
      <formula>Consulta!$S$24=3</formula>
    </cfRule>
  </conditionalFormatting>
  <conditionalFormatting sqref="C13">
    <cfRule type="expression" priority="314" dxfId="199" stopIfTrue="1">
      <formula>AND(Consulta!$M$13=0,Consulta!$I$10&lt;&gt;"",Consulta!$U$10=0)</formula>
    </cfRule>
  </conditionalFormatting>
  <conditionalFormatting sqref="D6:H6">
    <cfRule type="expression" priority="37" dxfId="17" stopIfTrue="1">
      <formula>Consulta!$J$1=""</formula>
    </cfRule>
  </conditionalFormatting>
  <conditionalFormatting sqref="D8:H8">
    <cfRule type="expression" priority="35" dxfId="17" stopIfTrue="1">
      <formula>Consulta!$V$6=""</formula>
    </cfRule>
  </conditionalFormatting>
  <conditionalFormatting sqref="D13:H13">
    <cfRule type="expression" priority="32" dxfId="17" stopIfTrue="1">
      <formula>OR(Consulta!$I$10="",Consulta!$U$10&lt;&gt;0)</formula>
    </cfRule>
  </conditionalFormatting>
  <conditionalFormatting sqref="D16:H16">
    <cfRule type="expression" priority="30" dxfId="17" stopIfTrue="1">
      <formula>Consulta!$M$13=0</formula>
    </cfRule>
    <cfRule type="expression" priority="31" dxfId="17" stopIfTrue="1">
      <formula>Consulta!$I$13=""</formula>
    </cfRule>
  </conditionalFormatting>
  <conditionalFormatting sqref="I6:L6">
    <cfRule type="expression" priority="391" dxfId="256" stopIfTrue="1">
      <formula>Consulta!$J$1=""</formula>
    </cfRule>
    <cfRule type="cellIs" priority="392" dxfId="66" operator="equal" stopIfTrue="1">
      <formula>""</formula>
    </cfRule>
  </conditionalFormatting>
  <conditionalFormatting sqref="M6">
    <cfRule type="expression" priority="393" dxfId="191" stopIfTrue="1">
      <formula>Consulta!$J$1=""</formula>
    </cfRule>
  </conditionalFormatting>
  <conditionalFormatting sqref="I14:L14">
    <cfRule type="cellIs" priority="399" dxfId="66" operator="equal" stopIfTrue="1">
      <formula>""</formula>
    </cfRule>
    <cfRule type="expression" priority="400" dxfId="260" stopIfTrue="1">
      <formula>"O($I$10="",$U$10&lt;&gt;0)"</formula>
    </cfRule>
  </conditionalFormatting>
  <conditionalFormatting sqref="I12:L12">
    <cfRule type="expression" priority="401" dxfId="82" stopIfTrue="1">
      <formula>OR(Consulta!$I$10="",Consulta!$U$10&lt;&gt;0)</formula>
    </cfRule>
  </conditionalFormatting>
  <conditionalFormatting sqref="I13:L13">
    <cfRule type="expression" priority="404" dxfId="256" stopIfTrue="1">
      <formula>OR(Consulta!$I$10="",Consulta!$U$10&lt;&gt;0)</formula>
    </cfRule>
    <cfRule type="cellIs" priority="405" dxfId="66" operator="equal" stopIfTrue="1">
      <formula>""</formula>
    </cfRule>
  </conditionalFormatting>
  <conditionalFormatting sqref="M13">
    <cfRule type="expression" priority="406" dxfId="255" stopIfTrue="1">
      <formula>OR(Consulta!$I$10="",Consulta!$U$10&lt;&gt;0)</formula>
    </cfRule>
  </conditionalFormatting>
  <conditionalFormatting sqref="C16">
    <cfRule type="expression" priority="407" dxfId="67" stopIfTrue="1">
      <formula>AND(Consulta!$L$16=0,Consulta!$M$13=1)</formula>
    </cfRule>
    <cfRule type="expression" priority="408" dxfId="62" stopIfTrue="1">
      <formula>Consulta!$M$13=0</formula>
    </cfRule>
  </conditionalFormatting>
  <conditionalFormatting sqref="L16">
    <cfRule type="expression" priority="411" dxfId="0" stopIfTrue="1">
      <formula>Consulta!$M$13=0</formula>
    </cfRule>
  </conditionalFormatting>
  <conditionalFormatting sqref="I17:K17">
    <cfRule type="expression" priority="412" dxfId="260" stopIfTrue="1">
      <formula>Consulta!$M$13=0</formula>
    </cfRule>
  </conditionalFormatting>
  <conditionalFormatting sqref="I16:K16">
    <cfRule type="expression" priority="413" dxfId="256" stopIfTrue="1">
      <formula>Consulta!$M$13=0</formula>
    </cfRule>
    <cfRule type="cellIs" priority="414" dxfId="66" operator="equal" stopIfTrue="1">
      <formula>""</formula>
    </cfRule>
  </conditionalFormatting>
  <conditionalFormatting sqref="N16:P16">
    <cfRule type="expression" priority="415" dxfId="178" stopIfTrue="1">
      <formula>+AND(Consulta!$T$15=0,OR(Consulta!$I$16="",Consulta!$I$16=0))</formula>
    </cfRule>
  </conditionalFormatting>
  <conditionalFormatting sqref="S15:S16">
    <cfRule type="expression" priority="420" dxfId="261" stopIfTrue="1">
      <formula>+OR(Consulta!$I$16="",Consulta!$I$16=0)</formula>
    </cfRule>
    <cfRule type="cellIs" priority="421" dxfId="66" operator="equal" stopIfTrue="1">
      <formula>""</formula>
    </cfRule>
  </conditionalFormatting>
  <conditionalFormatting sqref="S15">
    <cfRule type="expression" priority="10" dxfId="171" stopIfTrue="1">
      <formula>AND(Consulta!$S$15&gt;=1,OR(Consulta!$I$16="",Consulta!$I$16=0))</formula>
    </cfRule>
    <cfRule type="expression" priority="422" dxfId="256" stopIfTrue="1">
      <formula>+OR(Consulta!$I$16="",Consulta!$I$16=0)</formula>
    </cfRule>
  </conditionalFormatting>
  <conditionalFormatting sqref="S16">
    <cfRule type="expression" priority="9" dxfId="171" stopIfTrue="1">
      <formula>AND(Consulta!$S$16&gt;=1,OR(Consulta!$I$16="",Consulta!$I$16=0))</formula>
    </cfRule>
    <cfRule type="expression" priority="423" dxfId="256" stopIfTrue="1">
      <formula>+OR(Consulta!$I$16="",Consulta!$I$16=0)</formula>
    </cfRule>
  </conditionalFormatting>
  <conditionalFormatting sqref="S17">
    <cfRule type="expression" priority="8" dxfId="171" stopIfTrue="1">
      <formula>AND(Consulta!$S$17&gt;=1,OR(Consulta!$I$16="",Consulta!$I$16=0))</formula>
    </cfRule>
    <cfRule type="expression" priority="424" dxfId="262" stopIfTrue="1">
      <formula>+OR(Consulta!$I$16="",Consulta!$I$16=0)</formula>
    </cfRule>
    <cfRule type="cellIs" priority="425" dxfId="66" operator="equal" stopIfTrue="1">
      <formula>""</formula>
    </cfRule>
  </conditionalFormatting>
  <conditionalFormatting sqref="S17">
    <cfRule type="expression" priority="426" dxfId="256" stopIfTrue="1">
      <formula>+OR(Consulta!$I$16="",Consulta!$I$16=0)</formula>
    </cfRule>
    <cfRule type="cellIs" priority="427" dxfId="66" operator="equal" stopIfTrue="1">
      <formula>""</formula>
    </cfRule>
  </conditionalFormatting>
  <conditionalFormatting sqref="T16:V17">
    <cfRule type="expression" priority="7" dxfId="166" stopIfTrue="1">
      <formula>Consulta!$V$15=1</formula>
    </cfRule>
    <cfRule type="expression" priority="428" dxfId="165" stopIfTrue="1">
      <formula>Consulta!$U$15=1</formula>
    </cfRule>
    <cfRule type="expression" priority="429" dxfId="0" stopIfTrue="1">
      <formula>+OR(Consulta!$I$16="",Consulta!$I$16=0)</formula>
    </cfRule>
  </conditionalFormatting>
  <conditionalFormatting sqref="S18">
    <cfRule type="expression" priority="430" dxfId="163" stopIfTrue="1">
      <formula>Consulta!$T$16&lt;&gt;""</formula>
    </cfRule>
    <cfRule type="expression" priority="431" dxfId="260" stopIfTrue="1">
      <formula>+OR(Consulta!$I$16="",Consulta!$I$16=0)</formula>
    </cfRule>
  </conditionalFormatting>
  <conditionalFormatting sqref="I15:K15">
    <cfRule type="expression" priority="19" dxfId="151" stopIfTrue="1">
      <formula>Consulta!$M$13=0</formula>
    </cfRule>
  </conditionalFormatting>
  <conditionalFormatting sqref="O8:P8">
    <cfRule type="cellIs" priority="16" dxfId="17" operator="equal" stopIfTrue="1">
      <formula>""</formula>
    </cfRule>
  </conditionalFormatting>
  <conditionalFormatting sqref="Q8">
    <cfRule type="expression" priority="14" dxfId="71" stopIfTrue="1">
      <formula>AND(Consulta!$Q$8="",Consulta!$O$8&lt;&gt;"")</formula>
    </cfRule>
    <cfRule type="expression" priority="15" dxfId="17" stopIfTrue="1">
      <formula>Consulta!$O$8=""</formula>
    </cfRule>
  </conditionalFormatting>
  <conditionalFormatting sqref="D10:H10">
    <cfRule type="expression" priority="464" dxfId="17" stopIfTrue="1">
      <formula>OR(Consulta!$I$8="",Consulta!$Q$9&lt;&gt;0,Consulta!$V$9&lt;&gt;0)</formula>
    </cfRule>
  </conditionalFormatting>
  <conditionalFormatting sqref="C8">
    <cfRule type="expression" priority="465" dxfId="67" stopIfTrue="1">
      <formula>OR(AND(Consulta!$K$9=0,Consulta!$V$6&lt;&gt;""),Consulta!$Q$9=-1,Consulta!$V$9=-1)</formula>
    </cfRule>
    <cfRule type="expression" priority="466" dxfId="62" stopIfTrue="1">
      <formula>Consulta!$V$6=""</formula>
    </cfRule>
  </conditionalFormatting>
  <conditionalFormatting sqref="I10:L10">
    <cfRule type="expression" priority="468" dxfId="256" stopIfTrue="1">
      <formula>OR(Consulta!$I$8="",Consulta!$Q$9&lt;&gt;0,Consulta!$V$9&lt;&gt;0)</formula>
    </cfRule>
    <cfRule type="cellIs" priority="472" dxfId="66" operator="equal" stopIfTrue="1">
      <formula>""</formula>
    </cfRule>
  </conditionalFormatting>
  <conditionalFormatting sqref="I9:L9">
    <cfRule type="expression" priority="473" dxfId="151" stopIfTrue="1">
      <formula>OR(Consulta!$I$8="",Consulta!$Q$9&lt;&gt;0)</formula>
    </cfRule>
    <cfRule type="expression" priority="474" dxfId="151" stopIfTrue="1">
      <formula>Consulta!$I$8=""</formula>
    </cfRule>
  </conditionalFormatting>
  <conditionalFormatting sqref="I11:L11">
    <cfRule type="expression" priority="475" dxfId="103" stopIfTrue="1">
      <formula>OR(Consulta!$I$8="",Consulta!$Q$9&lt;&gt;0)</formula>
    </cfRule>
    <cfRule type="expression" priority="476" dxfId="103" stopIfTrue="1">
      <formula>Consulta!$I$8=""</formula>
    </cfRule>
  </conditionalFormatting>
  <conditionalFormatting sqref="N13:O13">
    <cfRule type="expression" priority="482" dxfId="263" stopIfTrue="1">
      <formula>AND(Consulta!$N$13&lt;&gt;"",(OR(Consulta!$M$6=1,Consulta!$M$6=2,AND(Consulta!#REF!=4,Consulta!#REF!&lt;&gt;2),AND(Consulta!#REF!=3,Consulta!#REF!&lt;&gt;2))))</formula>
    </cfRule>
    <cfRule type="expression" priority="483" dxfId="264" stopIfTrue="1">
      <formula>AND(Consulta!$I$13&lt;&gt;"",Consulta!$N$12="Tipo de plan")</formula>
    </cfRule>
    <cfRule type="expression" priority="484" dxfId="146" stopIfTrue="1">
      <formula>OR(AND(Consulta!$M$6=3,Consulta!$N$15=2),AND(Consulta!$M$6=4,Consulta!$Q$7=2,Consulta!$N$15=2))</formula>
    </cfRule>
  </conditionalFormatting>
  <conditionalFormatting sqref="S8:U8">
    <cfRule type="cellIs" priority="4" dxfId="17" operator="equal" stopIfTrue="1">
      <formula>""</formula>
    </cfRule>
  </conditionalFormatting>
  <conditionalFormatting sqref="O9:P9">
    <cfRule type="expression" priority="3" dxfId="103" stopIfTrue="1">
      <formula>Consulta!$O$8=""</formula>
    </cfRule>
  </conditionalFormatting>
  <conditionalFormatting sqref="I7">
    <cfRule type="expression" priority="604" dxfId="82" stopIfTrue="1">
      <formula>Consulta!$V$6=""</formula>
    </cfRule>
  </conditionalFormatting>
  <conditionalFormatting sqref="M8">
    <cfRule type="expression" priority="605" dxfId="0" stopIfTrue="1">
      <formula>Consulta!$V$6=""</formula>
    </cfRule>
  </conditionalFormatting>
  <conditionalFormatting sqref="V8">
    <cfRule type="expression" priority="606" dxfId="256" stopIfTrue="1">
      <formula>Consulta!$S$8=""</formula>
    </cfRule>
    <cfRule type="expression" priority="607" dxfId="66" stopIfTrue="1">
      <formula>AND(Consulta!$V$8="",Consulta!$S$8&lt;&gt;"")</formula>
    </cfRule>
  </conditionalFormatting>
  <conditionalFormatting sqref="W8">
    <cfRule type="expression" priority="608" dxfId="0" stopIfTrue="1">
      <formula>Consulta!$S$8=""</formula>
    </cfRule>
  </conditionalFormatting>
  <conditionalFormatting sqref="I16:K16">
    <cfRule type="cellIs" priority="609" dxfId="66" operator="equal" stopIfTrue="1">
      <formula>""</formula>
    </cfRule>
    <cfRule type="expression" priority="610" dxfId="256" stopIfTrue="1">
      <formula>Consulta!$M$13=0</formula>
    </cfRule>
  </conditionalFormatting>
  <conditionalFormatting sqref="I8:L8">
    <cfRule type="expression" priority="611" dxfId="256" stopIfTrue="1">
      <formula>Consulta!$V$6=""</formula>
    </cfRule>
    <cfRule type="cellIs" priority="612" dxfId="66" operator="equal" stopIfTrue="1">
      <formula>""</formula>
    </cfRule>
    <cfRule type="expression" priority="613" dxfId="67" stopIfTrue="1">
      <formula>+AND(Consulta!$Z$6=1,Consulta!$I$8="Tipo 7",Consulta!$M$6=4)</formula>
    </cfRule>
  </conditionalFormatting>
  <conditionalFormatting sqref="C10">
    <cfRule type="expression" priority="614" dxfId="67" stopIfTrue="1">
      <formula>AND(Consulta!$M$10=0,Consulta!$I$8&lt;&gt;"",Consulta!$Q$9=0,Consulta!V$9=0)</formula>
    </cfRule>
  </conditionalFormatting>
  <conditionalFormatting sqref="I10:L10">
    <cfRule type="expression" priority="740" dxfId="256" stopIfTrue="1">
      <formula>OR(Consulta!$I$8="",Consulta!$Q$9&lt;&gt;0,Consulta!$V$9&lt;&gt;0)</formula>
    </cfRule>
    <cfRule type="cellIs" priority="741" dxfId="66" operator="equal" stopIfTrue="1">
      <formula>""</formula>
    </cfRule>
  </conditionalFormatting>
  <conditionalFormatting sqref="M10">
    <cfRule type="expression" priority="742" dxfId="0" stopIfTrue="1">
      <formula>OR(Consulta!$I$8="",Consulta!$Q$9&lt;&gt;0,Consulta!$V$9&lt;&gt;0)</formula>
    </cfRule>
    <cfRule type="expression" priority="743" dxfId="0" stopIfTrue="1">
      <formula>Consulta!$I$8=""</formula>
    </cfRule>
  </conditionalFormatting>
  <conditionalFormatting sqref="Q15:R16">
    <cfRule type="expression" priority="744" dxfId="265" stopIfTrue="1">
      <formula>+AND(Consulta!$T$15=0,OR(Consulta!$I$16="",Consulta!$I$16=0))</formula>
    </cfRule>
    <cfRule type="expression" priority="745" dxfId="266" stopIfTrue="1">
      <formula>Consulta!$I$16=Consulta!$T$15</formula>
    </cfRule>
  </conditionalFormatting>
  <conditionalFormatting sqref="Q17:R17">
    <cfRule type="expression" priority="746" dxfId="265" stopIfTrue="1">
      <formula>+AND(Consulta!$T$15=0,OR(Consulta!$I$16="",Consulta!$I$16=0))</formula>
    </cfRule>
    <cfRule type="expression" priority="747" dxfId="267" stopIfTrue="1">
      <formula>Consulta!$I$16=Consulta!$T$15</formula>
    </cfRule>
  </conditionalFormatting>
  <conditionalFormatting sqref="Q15:R17">
    <cfRule type="expression" priority="748" dxfId="256" stopIfTrue="1">
      <formula>+AND(Consulta!$T$15=0,OR(Consulta!$I$16="",Consulta!$I$16=0))</formula>
    </cfRule>
    <cfRule type="expression" priority="749" dxfId="268" stopIfTrue="1">
      <formula>(Consulta!$I$16=Consulta!$T$15)</formula>
    </cfRule>
  </conditionalFormatting>
  <conditionalFormatting sqref="D33:F33">
    <cfRule type="expression" priority="2" dxfId="122" stopIfTrue="1">
      <formula>Consulta!$S$24=3</formula>
    </cfRule>
  </conditionalFormatting>
  <conditionalFormatting sqref="H32:J32">
    <cfRule type="expression" priority="1" dxfId="121" stopIfTrue="1">
      <formula>Consulta!$S$24=4</formula>
    </cfRule>
  </conditionalFormatting>
  <conditionalFormatting sqref="B26:AA26">
    <cfRule type="expression" priority="884" dxfId="269" stopIfTrue="1">
      <formula>Consulta!$D$28="Soportes:"</formula>
    </cfRule>
  </conditionalFormatting>
  <conditionalFormatting sqref="AB26">
    <cfRule type="expression" priority="885" dxfId="119" stopIfTrue="1">
      <formula>Consulta!$D$28="Soportes:"</formula>
    </cfRule>
  </conditionalFormatting>
  <conditionalFormatting sqref="J28:Y28">
    <cfRule type="expression" priority="886" dxfId="118" stopIfTrue="1">
      <formula>Consulta!AO130=1</formula>
    </cfRule>
    <cfRule type="expression" priority="887" dxfId="66" stopIfTrue="1">
      <formula>Consulta!$S$24=3</formula>
    </cfRule>
  </conditionalFormatting>
  <dataValidations count="19">
    <dataValidation type="whole" allowBlank="1" showInputMessage="1" showErrorMessage="1" errorTitle="Matriz de Ventas" error="El valor que ha ingresado supera el limite establecido, cambie el monto." sqref="I14:J14">
      <formula1>Consulta!BJ24</formula1>
      <formula2>Consulta!BI28</formula2>
    </dataValidation>
    <dataValidation type="whole" allowBlank="1" showInputMessage="1" showErrorMessage="1" errorTitle="Matriz de Ventas" error="El valor que ha ingresado supera el limite establecido, cambie el monto." sqref="K14">
      <formula1>Consulta!BK27</formula1>
      <formula2>Consulta!BK28</formula2>
    </dataValidation>
    <dataValidation type="list" allowBlank="1" showInputMessage="1" showErrorMessage="1" errorTitle="Matriz de Ventas" error="No ingrese valores, recuerde que solo debe escoger un dato de la lista." sqref="R4">
      <formula1>Consulta!$BU$3:$BU$4</formula1>
    </dataValidation>
    <dataValidation type="list" showInputMessage="1" showErrorMessage="1" errorTitle="Ayuda Ventas Voz-Datos" error="El valor que ha ingresado esta errado, por favor seleccione una opción de la lista " sqref="N24:O24">
      <formula1>Consulta!$AY$9:$AY$11</formula1>
    </dataValidation>
    <dataValidation type="list" showInputMessage="1" showErrorMessage="1" errorTitle="Matriz de venta" error="Seleccione su ciudad del listado" sqref="R48:T48">
      <formula1>Consulta!$BM$41:$BM$53</formula1>
    </dataValidation>
    <dataValidation type="list" showInputMessage="1" showErrorMessage="1" errorTitle="Ayuda Ventas Voz-Datos" error="No ingrese valores, recuerde que solo debe escoger un dato de la lista." sqref="I8">
      <formula1>Consulta!$AV$9:$AV$16</formula1>
    </dataValidation>
    <dataValidation type="list" showInputMessage="1" showErrorMessage="1" promptTitle="Recuerda" prompt="Si el usuario tiene una o más líneas activas, no olvides ubicar en las celdas que aparecen a la derecha a que gama pertenecen" errorTitle="Ayuda Ventas Voz-Datos" error="El valor que ha ingresado se sale de los rangos, seleccione un numero de la lista." sqref="I16:K16">
      <formula1>Consulta!$AX$10:$AX$45</formula1>
    </dataValidation>
    <dataValidation type="list" showInputMessage="1" showErrorMessage="1" errorTitle="Ayuda Ventas Voz-Datos" error="No ingrese valores, recuerde que solo debe escoger un dato de la lista." sqref="I10:L10">
      <formula1>Consulta!$AW$9:$AW$14</formula1>
    </dataValidation>
    <dataValidation type="list" allowBlank="1" showInputMessage="1" showErrorMessage="1" errorTitle="Ayuda Ventas Voz-Datos" error="No ingrese valores, recuerde que solo debe escoger un dato de la lista." sqref="N13:O13">
      <formula1>Consulta!$AP$8:$AP$10</formula1>
    </dataValidation>
    <dataValidation type="list" showErrorMessage="1" promptTitle="Para recordar" prompt="Recuerde que para ventas de Planes Blackberry debe revisar condiciones de planes de Voz." errorTitle="Ayuda Ventas Voz-Datos" error="No ingrese valores, recuerde que debe elegir una opcion de la lista" sqref="I6:L6">
      <formula1>Consulta!$AP$15:$AP$19</formula1>
    </dataValidation>
    <dataValidation type="list" allowBlank="1" showInputMessage="1" showErrorMessage="1" errorTitle="Ayuda Ventas Voz-Datos" error="No ingrese valores, recuerde que solo debe escoger un dato de la lista, dependiendo del lugar donde se va realizar la venta." sqref="P6:R6">
      <formula1>Consulta!$BS$26:$BS$35</formula1>
    </dataValidation>
    <dataValidation type="list" allowBlank="1" showInputMessage="1" showErrorMessage="1" errorTitle="Matriz de Ventas" error="No ingrese valores, recuerde que solo debe escoger un dato de la lista." sqref="R5">
      <formula1>Consulta!$BU$4:$BU$5</formula1>
    </dataValidation>
    <dataValidation type="list" allowBlank="1" showInputMessage="1" showErrorMessage="1" errorTitle="Ayuda Ventas Voz-Datos" error="No ingrese valores, recuerde que solo debe escoger un dato de la lista." sqref="V6:Y6">
      <formula1>Consulta!$CK$6:$CK$8</formula1>
    </dataValidation>
    <dataValidation type="list" allowBlank="1" showInputMessage="1" showErrorMessage="1" sqref="J1:M1">
      <formula1>Consulta!$AH$1:$AH$3</formula1>
    </dataValidation>
    <dataValidation type="list" allowBlank="1" showInputMessage="1" showErrorMessage="1" errorTitle="Ayuda Ventas Voz-Datos" error="No ingrese valores, recuerde que solo debe escoger un dato de la lista, dependiendo del lugar donde se va realizar la venta." sqref="R10:T10">
      <formula1>Consulta!$AH$5:$AH$7</formula1>
    </dataValidation>
    <dataValidation type="whole" allowBlank="1" showInputMessage="1" showErrorMessage="1" errorTitle="Ayudaventas" error="Ingrese un numero entre 1 y 15" sqref="S15:S17">
      <formula1>1</formula1>
      <formula2>35</formula2>
    </dataValidation>
    <dataValidation type="list" showInputMessage="1" showErrorMessage="1" errorTitle="Consulta Interactiva" error="Seleccione una opcion de la lista" sqref="I13">
      <formula1>Consulta!$AD$22:$AD$25</formula1>
    </dataValidation>
    <dataValidation type="list" allowBlank="1" showInputMessage="1" showErrorMessage="1" errorTitle="Consulta Interactiva" error="Seleccione una opcion del listado" sqref="Q8">
      <formula1>Consulta!$AE$5:$AE$7</formula1>
    </dataValidation>
    <dataValidation type="list" allowBlank="1" showInputMessage="1" showErrorMessage="1" errorTitle="Consulta Interactiva" error="Solo seleccione una opción del listado, si la persona ya tiene líneas con servicio iPhone seleccione SI, de lo contario seleccione NO." sqref="V8">
      <formula1>Consulta!$AE$5:$AE$7</formula1>
    </dataValidation>
  </dataValidations>
  <hyperlinks>
    <hyperlink ref="O39:AA40" location="Soportes!E5" tooltip="Da cklick para ver requisitos de los soportes" display="Soportes!E5"/>
  </hyperlinks>
  <printOptions/>
  <pageMargins left="0.75" right="0.75" top="1" bottom="1" header="0" footer="0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X57"/>
  <sheetViews>
    <sheetView showGridLines="0" showRowColHeaders="0" workbookViewId="0" topLeftCell="A1">
      <selection activeCell="E9" sqref="E9"/>
    </sheetView>
  </sheetViews>
  <sheetFormatPr defaultColWidth="0.13671875" defaultRowHeight="0.75" customHeight="1"/>
  <cols>
    <col min="1" max="1" width="0.9921875" style="162" customWidth="1"/>
    <col min="2" max="2" width="1.1484375" style="162" customWidth="1"/>
    <col min="3" max="3" width="16.28125" style="162" customWidth="1"/>
    <col min="4" max="4" width="22.00390625" style="162" customWidth="1"/>
    <col min="5" max="5" width="22.421875" style="162" customWidth="1"/>
    <col min="6" max="9" width="12.140625" style="162" customWidth="1"/>
    <col min="10" max="10" width="1.28515625" style="162" customWidth="1"/>
    <col min="11" max="11" width="4.421875" style="162" customWidth="1"/>
    <col min="12" max="20" width="4.421875" style="162" hidden="1" customWidth="1"/>
    <col min="21" max="21" width="8.8515625" style="162" hidden="1" customWidth="1"/>
    <col min="22" max="41" width="4.421875" style="162" hidden="1" customWidth="1"/>
    <col min="42" max="42" width="0.13671875" style="162" hidden="1" customWidth="1"/>
    <col min="43" max="43" width="4.28125" style="162" hidden="1" customWidth="1"/>
    <col min="44" max="16384" width="0.13671875" style="162" customWidth="1"/>
  </cols>
  <sheetData>
    <row r="1" spans="1:11" ht="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63" customFormat="1" ht="7.5" customHeight="1" thickBot="1">
      <c r="A2" s="51"/>
      <c r="B2" s="52"/>
      <c r="C2" s="53"/>
      <c r="D2" s="53"/>
      <c r="E2" s="53"/>
      <c r="F2" s="53"/>
      <c r="G2" s="53"/>
      <c r="H2" s="53"/>
      <c r="I2" s="53"/>
      <c r="J2" s="54"/>
      <c r="K2" s="51"/>
    </row>
    <row r="3" spans="1:24" s="163" customFormat="1" ht="23.25" customHeight="1" thickBot="1" thickTop="1">
      <c r="A3" s="51"/>
      <c r="B3" s="55"/>
      <c r="C3" s="469" t="s">
        <v>143</v>
      </c>
      <c r="D3" s="470"/>
      <c r="E3" s="470"/>
      <c r="F3" s="470"/>
      <c r="G3" s="470"/>
      <c r="H3" s="470"/>
      <c r="I3" s="471"/>
      <c r="J3" s="63"/>
      <c r="K3" s="51"/>
      <c r="P3" s="164" t="s">
        <v>259</v>
      </c>
      <c r="R3" s="164" t="s">
        <v>258</v>
      </c>
      <c r="U3" s="163" t="str">
        <f>IF(X3=0,"",LOOKUP(X3,U4:V5))</f>
        <v>Debe realizar una consulta para ver los soportes</v>
      </c>
      <c r="V3" s="163">
        <f>+IF(OR(Consulta!J1="",Consulta!I8="",Consulta!S24&lt;&gt;3),1,0)</f>
        <v>1</v>
      </c>
      <c r="W3" s="163">
        <f>+IF(AND(Consulta!J1&lt;&gt;"",Consulta!I8&lt;&gt;"",Consulta!S24=3,Consulta!H28="No"),2,0)</f>
        <v>0</v>
      </c>
      <c r="X3" s="163">
        <f>+W3+V3</f>
        <v>1</v>
      </c>
    </row>
    <row r="4" spans="1:22" s="163" customFormat="1" ht="9.75" customHeight="1" thickTop="1">
      <c r="A4" s="51"/>
      <c r="B4" s="55"/>
      <c r="C4" s="62"/>
      <c r="D4" s="62"/>
      <c r="E4" s="279">
        <f>+IF(OR(Consulta!J1="",Consulta!I8="",Consulta!S24&lt;&gt;3,Consulta!H28&lt;&gt;"si"),"",Consulta!J1)</f>
      </c>
      <c r="F4" s="62"/>
      <c r="G4" s="62"/>
      <c r="H4" s="62"/>
      <c r="I4" s="62"/>
      <c r="J4" s="63"/>
      <c r="K4" s="51"/>
      <c r="U4" s="163">
        <v>1</v>
      </c>
      <c r="V4" s="164" t="s">
        <v>260</v>
      </c>
    </row>
    <row r="5" spans="1:22" s="163" customFormat="1" ht="16.5" customHeight="1">
      <c r="A5" s="51"/>
      <c r="B5" s="55"/>
      <c r="D5" s="481">
        <f>+IF(OR(Consulta!J1="",Consulta!I8="",Consulta!S24&lt;&gt;3,Consulta!H28&lt;&gt;"si"),"",P3&amp;E4)</f>
      </c>
      <c r="E5" s="481"/>
      <c r="F5" s="278">
        <f>IF(E4="","",LOOKUP(E4,N34:O36))</f>
      </c>
      <c r="G5" s="68">
        <f>+IF(E4="",0,1)</f>
        <v>0</v>
      </c>
      <c r="H5" s="62"/>
      <c r="I5" s="62"/>
      <c r="J5" s="63"/>
      <c r="K5" s="51"/>
      <c r="U5" s="163">
        <v>2</v>
      </c>
      <c r="V5" s="164" t="s">
        <v>261</v>
      </c>
    </row>
    <row r="6" spans="1:11" s="163" customFormat="1" ht="15" customHeight="1">
      <c r="A6" s="51"/>
      <c r="B6" s="55"/>
      <c r="C6" s="480" t="str">
        <f>+IF(OR(D5="",D7=""),U3,"")</f>
        <v>Debe realizar una consulta para ver los soportes</v>
      </c>
      <c r="D6" s="480"/>
      <c r="E6" s="480"/>
      <c r="F6" s="480"/>
      <c r="G6" s="480"/>
      <c r="H6" s="480"/>
      <c r="I6" s="480"/>
      <c r="J6" s="63"/>
      <c r="K6" s="51"/>
    </row>
    <row r="7" spans="1:15" s="163" customFormat="1" ht="16.5" customHeight="1">
      <c r="A7" s="51"/>
      <c r="B7" s="55"/>
      <c r="D7" s="481">
        <f>+IF(OR(Consulta!J1="",Consulta!I8="",Consulta!S24&lt;&gt;3,Consulta!H28&lt;&gt;"si"),"",R3&amp;E8)</f>
      </c>
      <c r="E7" s="481"/>
      <c r="F7" s="278">
        <f>IF(E8="","",LOOKUP(E8,N6:O12))</f>
      </c>
      <c r="G7" s="68">
        <f>+IF(E8="",0,1)</f>
        <v>0</v>
      </c>
      <c r="H7" s="62"/>
      <c r="I7" s="62"/>
      <c r="J7" s="63"/>
      <c r="K7" s="51"/>
      <c r="L7" s="164" t="s">
        <v>6</v>
      </c>
      <c r="M7" s="163">
        <v>1</v>
      </c>
      <c r="N7" s="164" t="s">
        <v>11</v>
      </c>
      <c r="O7" s="163">
        <v>6</v>
      </c>
    </row>
    <row r="8" spans="1:15" s="163" customFormat="1" ht="9" customHeight="1">
      <c r="A8" s="51"/>
      <c r="B8" s="55"/>
      <c r="C8" s="62"/>
      <c r="D8" s="62"/>
      <c r="E8" s="279">
        <f>+IF(OR(Consulta!J1="",Consulta!I8="",Consulta!S24&lt;&gt;3,Consulta!H28&lt;&gt;"si"),"",Consulta!I8)</f>
      </c>
      <c r="F8" s="68"/>
      <c r="G8" s="68"/>
      <c r="H8" s="62"/>
      <c r="I8" s="62"/>
      <c r="J8" s="63"/>
      <c r="K8" s="51"/>
      <c r="L8" s="164" t="s">
        <v>7</v>
      </c>
      <c r="M8" s="163">
        <v>2</v>
      </c>
      <c r="N8" s="164" t="s">
        <v>6</v>
      </c>
      <c r="O8" s="163">
        <v>1</v>
      </c>
    </row>
    <row r="9" spans="1:15" s="163" customFormat="1" ht="19.5" customHeight="1">
      <c r="A9" s="51"/>
      <c r="B9" s="55"/>
      <c r="C9" s="472">
        <f>+IF(SUM(G5:G7)=2,"Seleccione la ocupacion del usuario:","")</f>
      </c>
      <c r="D9" s="473"/>
      <c r="E9" s="160"/>
      <c r="F9" s="159">
        <f>IF(E9="","",LOOKUP(E9,N27:O30))</f>
      </c>
      <c r="G9" s="68">
        <f>+IF(E9="",0,1)</f>
        <v>0</v>
      </c>
      <c r="H9" s="62"/>
      <c r="I9" s="62"/>
      <c r="J9" s="63"/>
      <c r="K9" s="51"/>
      <c r="L9" s="164" t="s">
        <v>8</v>
      </c>
      <c r="M9" s="163">
        <v>3</v>
      </c>
      <c r="N9" s="164" t="s">
        <v>7</v>
      </c>
      <c r="O9" s="163">
        <v>2</v>
      </c>
    </row>
    <row r="10" spans="1:15" s="163" customFormat="1" ht="15.75" customHeight="1">
      <c r="A10" s="51"/>
      <c r="B10" s="56"/>
      <c r="C10" s="66"/>
      <c r="D10" s="64"/>
      <c r="E10" s="67"/>
      <c r="F10" s="69"/>
      <c r="G10" s="69">
        <f>SUM(G5:G9)</f>
        <v>0</v>
      </c>
      <c r="H10" s="64"/>
      <c r="I10" s="64"/>
      <c r="J10" s="65"/>
      <c r="K10" s="51"/>
      <c r="L10" s="164" t="s">
        <v>9</v>
      </c>
      <c r="M10" s="163">
        <v>4</v>
      </c>
      <c r="N10" s="164" t="s">
        <v>8</v>
      </c>
      <c r="O10" s="163">
        <v>3</v>
      </c>
    </row>
    <row r="11" spans="1:15" s="163" customFormat="1" ht="33" customHeight="1">
      <c r="A11" s="51"/>
      <c r="B11" s="57"/>
      <c r="C11" s="51"/>
      <c r="D11" s="51"/>
      <c r="E11" s="51"/>
      <c r="F11" s="51"/>
      <c r="G11" s="51"/>
      <c r="H11" s="51"/>
      <c r="I11" s="51"/>
      <c r="J11" s="60"/>
      <c r="K11" s="51"/>
      <c r="L11" s="164" t="s">
        <v>10</v>
      </c>
      <c r="M11" s="163">
        <v>5</v>
      </c>
      <c r="N11" s="164" t="s">
        <v>9</v>
      </c>
      <c r="O11" s="163">
        <v>4</v>
      </c>
    </row>
    <row r="12" spans="1:15" s="163" customFormat="1" ht="22.5" customHeight="1">
      <c r="A12" s="51"/>
      <c r="B12" s="58"/>
      <c r="C12" s="474">
        <f>IF(OR(G10&lt;&gt;3,L39=0),"",LOOKUP(L39,M40:N45))</f>
      </c>
      <c r="D12" s="475"/>
      <c r="E12" s="475"/>
      <c r="F12" s="475"/>
      <c r="G12" s="475"/>
      <c r="H12" s="475"/>
      <c r="I12" s="476"/>
      <c r="J12" s="61"/>
      <c r="K12" s="51"/>
      <c r="L12" s="164" t="s">
        <v>11</v>
      </c>
      <c r="M12" s="163">
        <v>6</v>
      </c>
      <c r="N12" s="164" t="s">
        <v>10</v>
      </c>
      <c r="O12" s="163">
        <v>5</v>
      </c>
    </row>
    <row r="13" spans="1:12" s="163" customFormat="1" ht="58.5" customHeight="1">
      <c r="A13" s="51"/>
      <c r="B13" s="58"/>
      <c r="C13" s="477">
        <f>IF(OR(G10&lt;&gt;3,L39=0),"",LOOKUP(L39,M40:O45))</f>
      </c>
      <c r="D13" s="478"/>
      <c r="E13" s="478"/>
      <c r="F13" s="478"/>
      <c r="G13" s="478"/>
      <c r="H13" s="478"/>
      <c r="I13" s="479"/>
      <c r="J13" s="61"/>
      <c r="K13" s="51"/>
      <c r="L13" s="164"/>
    </row>
    <row r="14" spans="1:11" s="163" customFormat="1" ht="12">
      <c r="A14" s="51"/>
      <c r="B14" s="176"/>
      <c r="C14" s="468"/>
      <c r="D14" s="468"/>
      <c r="E14" s="468"/>
      <c r="F14" s="468"/>
      <c r="G14" s="468"/>
      <c r="H14" s="468"/>
      <c r="I14" s="468"/>
      <c r="J14" s="177"/>
      <c r="K14" s="51"/>
    </row>
    <row r="15" spans="1:11" s="163" customFormat="1" ht="12">
      <c r="A15" s="51"/>
      <c r="B15" s="485"/>
      <c r="C15" s="62"/>
      <c r="D15" s="62"/>
      <c r="E15" s="62"/>
      <c r="F15" s="62"/>
      <c r="G15" s="62"/>
      <c r="H15" s="62"/>
      <c r="I15" s="62"/>
      <c r="J15" s="482"/>
      <c r="K15" s="51"/>
    </row>
    <row r="16" spans="1:11" s="163" customFormat="1" ht="22.5" customHeight="1">
      <c r="A16" s="51"/>
      <c r="B16" s="485"/>
      <c r="C16" s="474">
        <f>IF(OR(G10&lt;&gt;3,L48=0),"",LOOKUP(L48,M49:N52))</f>
      </c>
      <c r="D16" s="475"/>
      <c r="E16" s="475"/>
      <c r="F16" s="475"/>
      <c r="G16" s="475"/>
      <c r="H16" s="475"/>
      <c r="I16" s="476"/>
      <c r="J16" s="482"/>
      <c r="K16" s="51"/>
    </row>
    <row r="17" spans="1:11" s="163" customFormat="1" ht="58.5" customHeight="1">
      <c r="A17" s="51"/>
      <c r="B17" s="485"/>
      <c r="C17" s="477">
        <f>IF(OR(G10&lt;&gt;3,L48=0),"",LOOKUP(L48,M49:O52))</f>
      </c>
      <c r="D17" s="478"/>
      <c r="E17" s="478"/>
      <c r="F17" s="478"/>
      <c r="G17" s="478"/>
      <c r="H17" s="478"/>
      <c r="I17" s="479"/>
      <c r="J17" s="482"/>
      <c r="K17" s="51"/>
    </row>
    <row r="18" spans="1:11" s="163" customFormat="1" ht="12">
      <c r="A18" s="51"/>
      <c r="B18" s="486"/>
      <c r="C18" s="484"/>
      <c r="D18" s="484"/>
      <c r="E18" s="484"/>
      <c r="F18" s="484"/>
      <c r="G18" s="484"/>
      <c r="H18" s="484"/>
      <c r="I18" s="484"/>
      <c r="J18" s="483"/>
      <c r="K18" s="51"/>
    </row>
    <row r="19" spans="1:11" s="163" customFormat="1" ht="12">
      <c r="A19" s="51"/>
      <c r="B19" s="487"/>
      <c r="C19" s="59"/>
      <c r="D19" s="59"/>
      <c r="E19" s="59"/>
      <c r="F19" s="59"/>
      <c r="G19" s="59"/>
      <c r="H19" s="59"/>
      <c r="I19" s="59"/>
      <c r="J19" s="488"/>
      <c r="K19" s="51"/>
    </row>
    <row r="20" spans="1:11" s="163" customFormat="1" ht="22.5" customHeight="1">
      <c r="A20" s="51"/>
      <c r="B20" s="485"/>
      <c r="C20" s="474">
        <f>IF(OR(G10&lt;&gt;3,L55=0),"",LOOKUP(L55,M56:N57))</f>
      </c>
      <c r="D20" s="475"/>
      <c r="E20" s="475"/>
      <c r="F20" s="475"/>
      <c r="G20" s="475"/>
      <c r="H20" s="475"/>
      <c r="I20" s="476"/>
      <c r="J20" s="482"/>
      <c r="K20" s="51"/>
    </row>
    <row r="21" spans="1:11" s="163" customFormat="1" ht="58.5" customHeight="1">
      <c r="A21" s="51"/>
      <c r="B21" s="485"/>
      <c r="C21" s="477">
        <f>IF(OR(G10&lt;&gt;3,L55=0),"",LOOKUP(L55,M56:O58))</f>
      </c>
      <c r="D21" s="478"/>
      <c r="E21" s="478"/>
      <c r="F21" s="478"/>
      <c r="G21" s="478"/>
      <c r="H21" s="478"/>
      <c r="I21" s="479"/>
      <c r="J21" s="482"/>
      <c r="K21" s="51"/>
    </row>
    <row r="22" spans="1:11" s="163" customFormat="1" ht="15" customHeight="1">
      <c r="A22" s="51"/>
      <c r="B22" s="486"/>
      <c r="C22" s="484"/>
      <c r="D22" s="484"/>
      <c r="E22" s="484"/>
      <c r="F22" s="484"/>
      <c r="G22" s="484"/>
      <c r="H22" s="484"/>
      <c r="I22" s="484"/>
      <c r="J22" s="483"/>
      <c r="K22" s="51"/>
    </row>
    <row r="23" spans="1:11" s="163" customFormat="1" ht="18.75" customHeight="1">
      <c r="A23" s="51"/>
      <c r="B23" s="51"/>
      <c r="C23" s="53"/>
      <c r="D23" s="53"/>
      <c r="E23" s="53"/>
      <c r="F23" s="53"/>
      <c r="G23" s="53"/>
      <c r="H23" s="53"/>
      <c r="I23" s="53"/>
      <c r="J23" s="53"/>
      <c r="K23" s="51"/>
    </row>
    <row r="24" s="163" customFormat="1" ht="18.75" customHeight="1" hidden="1"/>
    <row r="25" s="163" customFormat="1" ht="18.75" customHeight="1" hidden="1"/>
    <row r="26" s="163" customFormat="1" ht="18.75" customHeight="1" hidden="1"/>
    <row r="27" s="163" customFormat="1" ht="18.75" customHeight="1" hidden="1"/>
    <row r="28" spans="12:15" s="163" customFormat="1" ht="18.75" customHeight="1" hidden="1">
      <c r="L28" s="164">
        <f>+IF(C6&lt;&gt;"","","Empleado")</f>
      </c>
      <c r="M28" s="163">
        <v>1</v>
      </c>
      <c r="N28" s="164" t="s">
        <v>144</v>
      </c>
      <c r="O28" s="163">
        <v>1</v>
      </c>
    </row>
    <row r="29" spans="2:15" ht="18.75" customHeight="1" hidden="1">
      <c r="B29" s="163"/>
      <c r="C29" s="163"/>
      <c r="D29" s="163"/>
      <c r="E29" s="163"/>
      <c r="F29" s="163"/>
      <c r="G29" s="163"/>
      <c r="H29" s="163"/>
      <c r="I29" s="163"/>
      <c r="J29" s="163"/>
      <c r="L29" s="165">
        <f>+IF(C6&lt;&gt;"","","Pensionado")</f>
      </c>
      <c r="M29" s="166">
        <v>2</v>
      </c>
      <c r="N29" s="165" t="s">
        <v>146</v>
      </c>
      <c r="O29" s="166">
        <v>3</v>
      </c>
    </row>
    <row r="30" spans="2:15" ht="18.75" customHeight="1" hidden="1">
      <c r="B30" s="163"/>
      <c r="C30" s="163"/>
      <c r="D30" s="163"/>
      <c r="E30" s="163"/>
      <c r="F30" s="163"/>
      <c r="G30" s="163"/>
      <c r="H30" s="163"/>
      <c r="I30" s="163"/>
      <c r="J30" s="163"/>
      <c r="L30" s="165">
        <f>+IF(C6&lt;&gt;"","","Independiente")</f>
      </c>
      <c r="M30" s="166">
        <v>3</v>
      </c>
      <c r="N30" s="165" t="s">
        <v>145</v>
      </c>
      <c r="O30" s="166">
        <v>2</v>
      </c>
    </row>
    <row r="31" spans="2:10" ht="18.75" customHeight="1" hidden="1">
      <c r="B31" s="163"/>
      <c r="C31" s="163"/>
      <c r="D31" s="163"/>
      <c r="E31" s="163"/>
      <c r="F31" s="163"/>
      <c r="G31" s="163"/>
      <c r="H31" s="163"/>
      <c r="I31" s="163"/>
      <c r="J31" s="163"/>
    </row>
    <row r="32" spans="2:10" ht="18.75" customHeight="1" hidden="1">
      <c r="B32" s="163"/>
      <c r="C32" s="163"/>
      <c r="D32" s="163"/>
      <c r="E32" s="163"/>
      <c r="F32" s="163"/>
      <c r="G32" s="163"/>
      <c r="H32" s="163"/>
      <c r="I32" s="163"/>
      <c r="J32" s="163"/>
    </row>
    <row r="33" spans="2:10" ht="18.75" customHeight="1" hidden="1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 ht="18.75" customHeight="1" hidden="1">
      <c r="B34" s="163"/>
      <c r="C34" s="163"/>
      <c r="D34" s="163"/>
      <c r="E34" s="163"/>
      <c r="F34" s="163"/>
      <c r="G34" s="163"/>
      <c r="H34" s="163"/>
      <c r="I34" s="163"/>
      <c r="J34" s="163"/>
    </row>
    <row r="35" spans="2:15" ht="18.75" customHeight="1" hidden="1">
      <c r="B35" s="163"/>
      <c r="C35" s="163"/>
      <c r="D35" s="163"/>
      <c r="E35" s="163"/>
      <c r="F35" s="163"/>
      <c r="G35" s="163"/>
      <c r="H35" s="163"/>
      <c r="I35" s="163"/>
      <c r="J35" s="163"/>
      <c r="L35" s="165" t="s">
        <v>162</v>
      </c>
      <c r="M35" s="162">
        <v>1</v>
      </c>
      <c r="N35" s="165" t="s">
        <v>120</v>
      </c>
      <c r="O35" s="162">
        <v>2</v>
      </c>
    </row>
    <row r="36" spans="2:15" ht="18.75" customHeight="1" hidden="1">
      <c r="B36" s="163"/>
      <c r="C36" s="163"/>
      <c r="D36" s="163"/>
      <c r="E36" s="163"/>
      <c r="F36" s="163"/>
      <c r="G36" s="163"/>
      <c r="H36" s="163"/>
      <c r="I36" s="163"/>
      <c r="J36" s="163"/>
      <c r="L36" s="165" t="s">
        <v>120</v>
      </c>
      <c r="M36" s="162">
        <v>2</v>
      </c>
      <c r="N36" s="165" t="s">
        <v>162</v>
      </c>
      <c r="O36" s="162">
        <v>1</v>
      </c>
    </row>
    <row r="37" spans="2:10" ht="18.75" customHeight="1" hidden="1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8.75" customHeight="1" hidden="1">
      <c r="B38" s="163"/>
      <c r="C38" s="163"/>
      <c r="D38" s="163"/>
      <c r="E38" s="163"/>
      <c r="F38" s="163"/>
      <c r="G38" s="163"/>
      <c r="H38" s="163"/>
      <c r="I38" s="163"/>
      <c r="J38" s="163"/>
    </row>
    <row r="39" spans="2:17" ht="18.75" customHeight="1" hidden="1">
      <c r="B39" s="163"/>
      <c r="C39" s="163"/>
      <c r="D39" s="163"/>
      <c r="E39" s="163"/>
      <c r="F39" s="163"/>
      <c r="G39" s="163"/>
      <c r="H39" s="163"/>
      <c r="I39" s="163"/>
      <c r="J39" s="163"/>
      <c r="L39" s="162">
        <f>SUM(M39:Q39)</f>
        <v>0</v>
      </c>
      <c r="M39" s="162">
        <f>+IF(AND(F9=1,G10=3),1,0)</f>
        <v>0</v>
      </c>
      <c r="N39" s="162">
        <f>+IF(AND(F9=2,G10=3),2,0)</f>
        <v>0</v>
      </c>
      <c r="O39" s="162">
        <f>+IF(AND(F9=3,G10=3,F7&lt;&gt;1,F7&lt;&gt;5),3,0)</f>
        <v>0</v>
      </c>
      <c r="P39" s="162">
        <f>+IF(AND(F9=3,O39=0,G10=3,F7=1),4,0)</f>
        <v>0</v>
      </c>
      <c r="Q39" s="162">
        <f>+IF(AND(F9=3,O39=0,P39=0,G10=3,F7=5),5,0)</f>
        <v>0</v>
      </c>
    </row>
    <row r="40" spans="2:10" ht="18.75" customHeight="1" hidden="1">
      <c r="B40" s="163"/>
      <c r="C40" s="163"/>
      <c r="D40" s="163"/>
      <c r="E40" s="163"/>
      <c r="F40" s="163"/>
      <c r="G40" s="163"/>
      <c r="H40" s="163"/>
      <c r="I40" s="163"/>
      <c r="J40" s="163"/>
    </row>
    <row r="41" spans="2:15" ht="18.75" customHeight="1" hidden="1">
      <c r="B41" s="163"/>
      <c r="C41" s="163"/>
      <c r="D41" s="163"/>
      <c r="E41" s="163"/>
      <c r="F41" s="163"/>
      <c r="G41" s="163"/>
      <c r="H41" s="163"/>
      <c r="I41" s="163"/>
      <c r="J41" s="163"/>
      <c r="M41" s="162">
        <v>1</v>
      </c>
      <c r="N41" s="165" t="s">
        <v>147</v>
      </c>
      <c r="O41" s="167" t="s">
        <v>155</v>
      </c>
    </row>
    <row r="42" spans="2:15" ht="18.75" customHeight="1" hidden="1">
      <c r="B42" s="163"/>
      <c r="C42" s="163"/>
      <c r="D42" s="163"/>
      <c r="E42" s="163"/>
      <c r="F42" s="163"/>
      <c r="G42" s="163"/>
      <c r="H42" s="163"/>
      <c r="I42" s="163"/>
      <c r="J42" s="163"/>
      <c r="M42" s="162">
        <v>2</v>
      </c>
      <c r="N42" s="165" t="s">
        <v>148</v>
      </c>
      <c r="O42" s="165" t="s">
        <v>156</v>
      </c>
    </row>
    <row r="43" spans="2:15" ht="18.75" customHeight="1" hidden="1">
      <c r="B43" s="163"/>
      <c r="C43" s="163"/>
      <c r="D43" s="163"/>
      <c r="E43" s="163"/>
      <c r="F43" s="163"/>
      <c r="G43" s="163"/>
      <c r="H43" s="163"/>
      <c r="I43" s="163"/>
      <c r="J43" s="163"/>
      <c r="M43" s="162">
        <v>3</v>
      </c>
      <c r="N43" s="165" t="s">
        <v>149</v>
      </c>
      <c r="O43" s="165" t="s">
        <v>157</v>
      </c>
    </row>
    <row r="44" spans="2:15" ht="18.75" customHeight="1" hidden="1">
      <c r="B44" s="163"/>
      <c r="C44" s="163"/>
      <c r="D44" s="163"/>
      <c r="E44" s="163"/>
      <c r="F44" s="163"/>
      <c r="G44" s="163"/>
      <c r="H44" s="163"/>
      <c r="I44" s="163"/>
      <c r="J44" s="163"/>
      <c r="M44" s="162">
        <v>4</v>
      </c>
      <c r="N44" s="165" t="s">
        <v>150</v>
      </c>
      <c r="O44" s="167" t="s">
        <v>158</v>
      </c>
    </row>
    <row r="45" spans="2:15" ht="18.75" customHeight="1" hidden="1">
      <c r="B45" s="163"/>
      <c r="C45" s="163"/>
      <c r="D45" s="163"/>
      <c r="E45" s="163"/>
      <c r="F45" s="163"/>
      <c r="G45" s="163"/>
      <c r="H45" s="163"/>
      <c r="I45" s="163"/>
      <c r="J45" s="163"/>
      <c r="M45" s="162">
        <v>5</v>
      </c>
      <c r="N45" s="165" t="s">
        <v>152</v>
      </c>
      <c r="O45" s="165" t="s">
        <v>159</v>
      </c>
    </row>
    <row r="46" spans="2:10" ht="18.75" customHeight="1" hidden="1">
      <c r="B46" s="163"/>
      <c r="C46" s="163"/>
      <c r="D46" s="163"/>
      <c r="E46" s="163"/>
      <c r="F46" s="163"/>
      <c r="G46" s="163"/>
      <c r="H46" s="163"/>
      <c r="I46" s="163"/>
      <c r="J46" s="163"/>
    </row>
    <row r="47" spans="2:10" ht="18.75" customHeight="1" hidden="1">
      <c r="B47" s="163"/>
      <c r="C47" s="163"/>
      <c r="D47" s="163"/>
      <c r="E47" s="163"/>
      <c r="F47" s="163"/>
      <c r="G47" s="163"/>
      <c r="H47" s="163"/>
      <c r="I47" s="163"/>
      <c r="J47" s="163"/>
    </row>
    <row r="48" spans="2:15" ht="18.75" customHeight="1" hidden="1">
      <c r="B48" s="163"/>
      <c r="C48" s="163"/>
      <c r="D48" s="163"/>
      <c r="E48" s="163"/>
      <c r="F48" s="163"/>
      <c r="G48" s="163"/>
      <c r="H48" s="163"/>
      <c r="I48" s="163"/>
      <c r="J48" s="163"/>
      <c r="L48" s="162">
        <f>SUM(M48:P48)</f>
        <v>0</v>
      </c>
      <c r="M48" s="162">
        <f>+IF(AND(F9=1,OR(F5=2,AND(F7&lt;&gt;1)),G10=3),1,0)</f>
        <v>0</v>
      </c>
      <c r="N48" s="162">
        <f>+IF(AND(F9=3,G10=3,OR(F7=2,F7=3)),2,0)</f>
        <v>0</v>
      </c>
      <c r="O48" s="162">
        <f>+IF(AND(F9=3,G10=3,OR(F7=1,F7=6)),3,0)</f>
        <v>0</v>
      </c>
    </row>
    <row r="49" spans="2:10" ht="18.75" customHeight="1" hidden="1">
      <c r="B49" s="163"/>
      <c r="C49" s="163"/>
      <c r="D49" s="163"/>
      <c r="E49" s="163"/>
      <c r="F49" s="163"/>
      <c r="G49" s="163"/>
      <c r="H49" s="163"/>
      <c r="I49" s="163"/>
      <c r="J49" s="163"/>
    </row>
    <row r="50" spans="2:15" ht="18.75" customHeight="1" hidden="1">
      <c r="B50" s="163"/>
      <c r="C50" s="163"/>
      <c r="D50" s="163"/>
      <c r="E50" s="163"/>
      <c r="F50" s="163"/>
      <c r="G50" s="163"/>
      <c r="H50" s="163"/>
      <c r="I50" s="163"/>
      <c r="J50" s="163"/>
      <c r="M50" s="162">
        <v>1</v>
      </c>
      <c r="N50" s="165" t="s">
        <v>151</v>
      </c>
      <c r="O50" s="168" t="s">
        <v>160</v>
      </c>
    </row>
    <row r="51" spans="2:15" ht="18.75" customHeight="1" hidden="1">
      <c r="B51" s="163"/>
      <c r="C51" s="163"/>
      <c r="D51" s="163"/>
      <c r="E51" s="163"/>
      <c r="F51" s="163"/>
      <c r="G51" s="163"/>
      <c r="H51" s="163"/>
      <c r="I51" s="163"/>
      <c r="J51" s="163"/>
      <c r="M51" s="162">
        <v>2</v>
      </c>
      <c r="N51" s="165" t="s">
        <v>153</v>
      </c>
      <c r="O51" s="167" t="s">
        <v>158</v>
      </c>
    </row>
    <row r="52" spans="2:15" ht="18.75" customHeight="1" hidden="1">
      <c r="B52" s="163"/>
      <c r="C52" s="163"/>
      <c r="D52" s="163"/>
      <c r="E52" s="163"/>
      <c r="F52" s="163"/>
      <c r="G52" s="163"/>
      <c r="H52" s="163"/>
      <c r="I52" s="163"/>
      <c r="J52" s="163"/>
      <c r="M52" s="162">
        <v>3</v>
      </c>
      <c r="N52" s="165" t="s">
        <v>154</v>
      </c>
      <c r="O52" s="165" t="s">
        <v>159</v>
      </c>
    </row>
    <row r="53" spans="2:10" ht="18.75" customHeight="1" hidden="1">
      <c r="B53" s="163"/>
      <c r="C53" s="163"/>
      <c r="D53" s="163"/>
      <c r="E53" s="163"/>
      <c r="F53" s="163"/>
      <c r="G53" s="163"/>
      <c r="H53" s="163"/>
      <c r="I53" s="163"/>
      <c r="J53" s="163"/>
    </row>
    <row r="54" spans="2:10" ht="18.75" customHeight="1" hidden="1">
      <c r="B54" s="163"/>
      <c r="C54" s="163"/>
      <c r="D54" s="163"/>
      <c r="E54" s="163"/>
      <c r="F54" s="163"/>
      <c r="G54" s="163"/>
      <c r="H54" s="163"/>
      <c r="I54" s="163"/>
      <c r="J54" s="163"/>
    </row>
    <row r="55" spans="2:13" ht="18.75" customHeight="1" hidden="1">
      <c r="B55" s="163"/>
      <c r="C55" s="163"/>
      <c r="D55" s="163"/>
      <c r="E55" s="163"/>
      <c r="F55" s="163"/>
      <c r="G55" s="163"/>
      <c r="H55" s="163"/>
      <c r="I55" s="163"/>
      <c r="J55" s="163"/>
      <c r="L55" s="162">
        <f>SUM(M55:O55)</f>
        <v>0</v>
      </c>
      <c r="M55" s="162">
        <f>+IF(AND(F9=3,G10=3,OR(F7=2,F7=3)),1,0)</f>
        <v>0</v>
      </c>
    </row>
    <row r="56" spans="2:10" ht="18.75" customHeight="1" hidden="1">
      <c r="B56" s="163"/>
      <c r="C56" s="163"/>
      <c r="D56" s="163"/>
      <c r="E56" s="163"/>
      <c r="F56" s="163"/>
      <c r="G56" s="163"/>
      <c r="H56" s="163"/>
      <c r="I56" s="163"/>
      <c r="J56" s="163"/>
    </row>
    <row r="57" spans="2:15" ht="18.75" customHeight="1" hidden="1">
      <c r="B57" s="163"/>
      <c r="C57" s="163"/>
      <c r="D57" s="163"/>
      <c r="E57" s="163"/>
      <c r="F57" s="163"/>
      <c r="G57" s="163"/>
      <c r="H57" s="163"/>
      <c r="I57" s="163"/>
      <c r="J57" s="163"/>
      <c r="M57" s="162">
        <v>1</v>
      </c>
      <c r="N57" s="165" t="s">
        <v>154</v>
      </c>
      <c r="O57" s="165" t="s">
        <v>159</v>
      </c>
    </row>
    <row r="58" ht="18.75" customHeight="1" hidden="1"/>
    <row r="59" ht="18.75" customHeight="1" hidden="1"/>
    <row r="60" ht="18.75" customHeight="1" hidden="1"/>
  </sheetData>
  <sheetProtection password="CC47" sheet="1" selectLockedCells="1"/>
  <mergeCells count="18">
    <mergeCell ref="J15:J18"/>
    <mergeCell ref="C18:I18"/>
    <mergeCell ref="B15:B18"/>
    <mergeCell ref="B19:B22"/>
    <mergeCell ref="C22:I22"/>
    <mergeCell ref="J19:J22"/>
    <mergeCell ref="C16:I16"/>
    <mergeCell ref="C17:I17"/>
    <mergeCell ref="C20:I20"/>
    <mergeCell ref="C21:I21"/>
    <mergeCell ref="C14:I14"/>
    <mergeCell ref="C3:I3"/>
    <mergeCell ref="C9:D9"/>
    <mergeCell ref="C12:I12"/>
    <mergeCell ref="C13:I13"/>
    <mergeCell ref="C6:I6"/>
    <mergeCell ref="D7:E7"/>
    <mergeCell ref="D5:E5"/>
  </mergeCells>
  <conditionalFormatting sqref="E9">
    <cfRule type="expression" priority="19" dxfId="17">
      <formula>Soportes!$C$9=""</formula>
    </cfRule>
    <cfRule type="cellIs" priority="30" dxfId="19" operator="notEqual">
      <formula>""</formula>
    </cfRule>
  </conditionalFormatting>
  <conditionalFormatting sqref="C12:I12">
    <cfRule type="cellIs" priority="29" dxfId="17" operator="equal">
      <formula>""</formula>
    </cfRule>
  </conditionalFormatting>
  <conditionalFormatting sqref="C13:I13">
    <cfRule type="cellIs" priority="28" dxfId="17" operator="equal">
      <formula>""</formula>
    </cfRule>
  </conditionalFormatting>
  <conditionalFormatting sqref="C16:I16">
    <cfRule type="cellIs" priority="27" dxfId="17" operator="equal">
      <formula>""</formula>
    </cfRule>
  </conditionalFormatting>
  <conditionalFormatting sqref="C17:I17">
    <cfRule type="cellIs" priority="26" dxfId="17" operator="equal">
      <formula>""</formula>
    </cfRule>
  </conditionalFormatting>
  <conditionalFormatting sqref="C20:I20">
    <cfRule type="cellIs" priority="25" dxfId="17" operator="equal">
      <formula>""</formula>
    </cfRule>
  </conditionalFormatting>
  <conditionalFormatting sqref="C21:I21">
    <cfRule type="cellIs" priority="24" dxfId="17" operator="equal">
      <formula>""</formula>
    </cfRule>
  </conditionalFormatting>
  <conditionalFormatting sqref="K21">
    <cfRule type="expression" priority="23" dxfId="108">
      <formula>Soportes!$C$21=""</formula>
    </cfRule>
  </conditionalFormatting>
  <conditionalFormatting sqref="C9:D9">
    <cfRule type="cellIs" priority="20" dxfId="17" operator="equal">
      <formula>""</formula>
    </cfRule>
  </conditionalFormatting>
  <conditionalFormatting sqref="C23:I23">
    <cfRule type="expression" priority="10" dxfId="103">
      <formula>Soportes!$C$21=""</formula>
    </cfRule>
  </conditionalFormatting>
  <conditionalFormatting sqref="B11:B13">
    <cfRule type="expression" priority="6" dxfId="105">
      <formula>Soportes!$C$13=""</formula>
    </cfRule>
  </conditionalFormatting>
  <conditionalFormatting sqref="J11:J13">
    <cfRule type="expression" priority="5" dxfId="104">
      <formula>Soportes!$C$13=""</formula>
    </cfRule>
  </conditionalFormatting>
  <conditionalFormatting sqref="C15:I15">
    <cfRule type="expression" priority="4" dxfId="103">
      <formula>Soportes!$C$13=""</formula>
    </cfRule>
  </conditionalFormatting>
  <conditionalFormatting sqref="F9">
    <cfRule type="expression" priority="57" dxfId="0" stopIfTrue="1">
      <formula>Soportes!$C$9=""</formula>
    </cfRule>
  </conditionalFormatting>
  <conditionalFormatting sqref="C14:I14">
    <cfRule type="expression" priority="58" dxfId="82" stopIfTrue="1">
      <formula>Soportes!$C$16&lt;&gt;""</formula>
    </cfRule>
    <cfRule type="expression" priority="59" dxfId="270" stopIfTrue="1">
      <formula>Soportes!$C$13=""</formula>
    </cfRule>
  </conditionalFormatting>
  <conditionalFormatting sqref="B14">
    <cfRule type="expression" priority="60" dxfId="82" stopIfTrue="1">
      <formula>Soportes!$C$16&lt;&gt;""</formula>
    </cfRule>
    <cfRule type="expression" priority="61" dxfId="79" stopIfTrue="1">
      <formula>Soportes!$C$13=""</formula>
    </cfRule>
  </conditionalFormatting>
  <conditionalFormatting sqref="J14">
    <cfRule type="expression" priority="62" dxfId="82" stopIfTrue="1">
      <formula>Soportes!$C$16&lt;&gt;""</formula>
    </cfRule>
    <cfRule type="expression" priority="63" dxfId="76" stopIfTrue="1">
      <formula>Soportes!$C$13=""</formula>
    </cfRule>
  </conditionalFormatting>
  <conditionalFormatting sqref="B15:B18">
    <cfRule type="expression" priority="64" dxfId="271" stopIfTrue="1">
      <formula>Soportes!$C$17=""</formula>
    </cfRule>
    <cfRule type="expression" priority="65" dxfId="82" stopIfTrue="1">
      <formula>Soportes!$C$20&lt;&gt;""</formula>
    </cfRule>
  </conditionalFormatting>
  <conditionalFormatting sqref="B14">
    <cfRule type="expression" priority="68" dxfId="79" stopIfTrue="1">
      <formula>Soportes!$C$13=""</formula>
    </cfRule>
    <cfRule type="expression" priority="69" dxfId="82" stopIfTrue="1">
      <formula>Soportes!$C$16&lt;&gt;""</formula>
    </cfRule>
  </conditionalFormatting>
  <conditionalFormatting sqref="J14">
    <cfRule type="expression" priority="70" dxfId="76" stopIfTrue="1">
      <formula>Soportes!$C$13=""</formula>
    </cfRule>
    <cfRule type="expression" priority="71" dxfId="82" stopIfTrue="1">
      <formula>Soportes!$C$16&lt;&gt;""</formula>
    </cfRule>
  </conditionalFormatting>
  <conditionalFormatting sqref="C18:I18">
    <cfRule type="expression" priority="105" dxfId="82" stopIfTrue="1">
      <formula>Soportes!$C$20&lt;&gt;""</formula>
    </cfRule>
    <cfRule type="expression" priority="106" dxfId="270" stopIfTrue="1">
      <formula>Soportes!$C$17=""</formula>
    </cfRule>
  </conditionalFormatting>
  <conditionalFormatting sqref="C22:I22">
    <cfRule type="expression" priority="107" dxfId="255" stopIfTrue="1">
      <formula>Soportes!$C$21=""</formula>
    </cfRule>
  </conditionalFormatting>
  <conditionalFormatting sqref="J23">
    <cfRule type="expression" priority="108" dxfId="86" stopIfTrue="1">
      <formula>Soportes!$C$21=""</formula>
    </cfRule>
  </conditionalFormatting>
  <conditionalFormatting sqref="J15:J18">
    <cfRule type="expression" priority="109" dxfId="272" stopIfTrue="1">
      <formula>Soportes!$C$17=""</formula>
    </cfRule>
    <cfRule type="expression" priority="110" dxfId="82" stopIfTrue="1">
      <formula>Soportes!$C$20&lt;&gt;""</formula>
    </cfRule>
  </conditionalFormatting>
  <conditionalFormatting sqref="C19:I19">
    <cfRule type="expression" priority="111" dxfId="270" stopIfTrue="1">
      <formula>Soportes!$C$17=""</formula>
    </cfRule>
    <cfRule type="expression" priority="112" dxfId="82" stopIfTrue="1">
      <formula>Soportes!$C$20=""</formula>
    </cfRule>
    <cfRule type="expression" priority="113" dxfId="260" stopIfTrue="1">
      <formula>Soportes!$C$20&lt;&gt;""</formula>
    </cfRule>
  </conditionalFormatting>
  <conditionalFormatting sqref="B19:B22">
    <cfRule type="expression" priority="114" dxfId="271" stopIfTrue="1">
      <formula>Soportes!$C$17=""</formula>
    </cfRule>
    <cfRule type="expression" priority="115" dxfId="79" stopIfTrue="1">
      <formula>Soportes!$C$21=""</formula>
    </cfRule>
    <cfRule type="expression" priority="116" dxfId="260" stopIfTrue="1">
      <formula>Soportes!$C$20&lt;&gt;""</formula>
    </cfRule>
  </conditionalFormatting>
  <conditionalFormatting sqref="J19:J22">
    <cfRule type="expression" priority="117" dxfId="272" stopIfTrue="1">
      <formula>Soportes!$C$17=""</formula>
    </cfRule>
    <cfRule type="expression" priority="118" dxfId="76" stopIfTrue="1">
      <formula>Soportes!$C$21=""</formula>
    </cfRule>
    <cfRule type="expression" priority="119" dxfId="260" stopIfTrue="1">
      <formula>Soportes!$C$20&lt;&gt;""</formula>
    </cfRule>
  </conditionalFormatting>
  <conditionalFormatting sqref="F7">
    <cfRule type="expression" priority="753" dxfId="0" stopIfTrue="1">
      <formula>Soportes!$D$7=""</formula>
    </cfRule>
  </conditionalFormatting>
  <conditionalFormatting sqref="D5">
    <cfRule type="cellIs" priority="3" dxfId="71" operator="equal" stopIfTrue="1">
      <formula>""</formula>
    </cfRule>
  </conditionalFormatting>
  <conditionalFormatting sqref="E4">
    <cfRule type="cellIs" priority="2" dxfId="71" operator="equal" stopIfTrue="1">
      <formula>""</formula>
    </cfRule>
  </conditionalFormatting>
  <conditionalFormatting sqref="D7:E7">
    <cfRule type="cellIs" priority="1" dxfId="71" operator="equal" stopIfTrue="1">
      <formula>""</formula>
    </cfRule>
  </conditionalFormatting>
  <dataValidations count="1">
    <dataValidation type="list" allowBlank="1" showInputMessage="1" showErrorMessage="1" errorTitle="Ayudaventas" error="Solo debe seleccionar una opción del listado" sqref="E9">
      <formula1>Soportes!$L$27:$L$30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9"/>
  </sheetPr>
  <dimension ref="A1:BX65"/>
  <sheetViews>
    <sheetView showGridLines="0" showRowColHeaders="0" tabSelected="1" workbookViewId="0" topLeftCell="A1">
      <selection activeCell="R10" sqref="R10"/>
    </sheetView>
  </sheetViews>
  <sheetFormatPr defaultColWidth="0.13671875" defaultRowHeight="0.75" customHeight="1"/>
  <cols>
    <col min="1" max="1" width="3.8515625" style="192" customWidth="1"/>
    <col min="2" max="2" width="4.421875" style="192" customWidth="1"/>
    <col min="3" max="3" width="5.00390625" style="192" customWidth="1"/>
    <col min="4" max="4" width="5.7109375" style="192" customWidth="1"/>
    <col min="5" max="5" width="2.421875" style="192" customWidth="1"/>
    <col min="6" max="6" width="5.28125" style="192" bestFit="1" customWidth="1"/>
    <col min="7" max="10" width="5.00390625" style="192" customWidth="1"/>
    <col min="11" max="11" width="5.421875" style="192" bestFit="1" customWidth="1"/>
    <col min="12" max="13" width="5.00390625" style="192" customWidth="1"/>
    <col min="14" max="14" width="6.421875" style="192" bestFit="1" customWidth="1"/>
    <col min="15" max="15" width="2.8515625" style="192" customWidth="1"/>
    <col min="16" max="16" width="7.28125" style="192" customWidth="1"/>
    <col min="17" max="17" width="6.8515625" style="192" customWidth="1"/>
    <col min="18" max="18" width="5.28125" style="192" bestFit="1" customWidth="1"/>
    <col min="19" max="19" width="3.8515625" style="192" customWidth="1"/>
    <col min="20" max="20" width="5.8515625" style="192" customWidth="1"/>
    <col min="21" max="21" width="2.7109375" style="192" customWidth="1"/>
    <col min="22" max="22" width="4.28125" style="293" customWidth="1"/>
    <col min="23" max="30" width="0.42578125" style="192" hidden="1" customWidth="1"/>
    <col min="31" max="31" width="0.42578125" style="193" hidden="1" customWidth="1"/>
    <col min="32" max="71" width="0.42578125" style="192" hidden="1" customWidth="1"/>
    <col min="72" max="75" width="0.13671875" style="192" hidden="1" customWidth="1"/>
    <col min="76" max="16384" width="0.13671875" style="192" customWidth="1"/>
  </cols>
  <sheetData>
    <row r="1" spans="1:22" ht="8.2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497" t="s">
        <v>114</v>
      </c>
      <c r="T1" s="497"/>
      <c r="U1" s="190"/>
      <c r="V1" s="191"/>
    </row>
    <row r="2" spans="1:36" ht="20.25" customHeight="1" thickBot="1">
      <c r="A2" s="194"/>
      <c r="B2" s="498" t="s">
        <v>190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9"/>
      <c r="U2" s="195"/>
      <c r="V2" s="191"/>
      <c r="AI2" s="196" t="str">
        <f>+IF(J5="Reposición","","Si")</f>
        <v>Si</v>
      </c>
      <c r="AJ2" s="192">
        <v>1</v>
      </c>
    </row>
    <row r="3" spans="1:36" ht="9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7"/>
      <c r="M3" s="190"/>
      <c r="N3" s="190"/>
      <c r="O3" s="190"/>
      <c r="P3" s="190"/>
      <c r="Q3" s="190"/>
      <c r="R3" s="190"/>
      <c r="S3" s="190"/>
      <c r="T3" s="190"/>
      <c r="U3" s="190"/>
      <c r="V3" s="191"/>
      <c r="AE3" s="193" t="s">
        <v>21</v>
      </c>
      <c r="AI3" s="196" t="s">
        <v>88</v>
      </c>
      <c r="AJ3" s="192">
        <v>2</v>
      </c>
    </row>
    <row r="4" spans="1:22" ht="10.5" customHeight="1">
      <c r="A4" s="190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0"/>
      <c r="P4" s="190"/>
      <c r="Q4" s="190"/>
      <c r="R4" s="190"/>
      <c r="S4" s="190"/>
      <c r="T4" s="190"/>
      <c r="U4" s="190"/>
      <c r="V4" s="191"/>
    </row>
    <row r="5" spans="1:22" ht="19.5" customHeight="1">
      <c r="A5" s="190"/>
      <c r="B5" s="500" t="s">
        <v>191</v>
      </c>
      <c r="C5" s="501"/>
      <c r="D5" s="501"/>
      <c r="E5" s="501"/>
      <c r="F5" s="501"/>
      <c r="G5" s="501"/>
      <c r="H5" s="501"/>
      <c r="I5" s="502"/>
      <c r="J5" s="503" t="s">
        <v>192</v>
      </c>
      <c r="K5" s="504"/>
      <c r="L5" s="504"/>
      <c r="M5" s="504"/>
      <c r="N5" s="505"/>
      <c r="O5" s="258">
        <f>+IF(J5="Reposición a cuotas",1,0)</f>
        <v>0</v>
      </c>
      <c r="P5" s="259">
        <f>+IF(J5="Ventas",2,0)</f>
        <v>2</v>
      </c>
      <c r="Q5" s="259">
        <f>+O5+P5</f>
        <v>2</v>
      </c>
      <c r="R5" s="190"/>
      <c r="S5" s="190"/>
      <c r="T5" s="190"/>
      <c r="U5" s="190"/>
      <c r="V5" s="191"/>
    </row>
    <row r="6" spans="1:31" ht="9" customHeight="1">
      <c r="A6" s="190"/>
      <c r="B6" s="190"/>
      <c r="C6" s="190"/>
      <c r="D6" s="190"/>
      <c r="E6" s="190"/>
      <c r="F6" s="190"/>
      <c r="G6" s="190"/>
      <c r="H6" s="190"/>
      <c r="I6" s="190"/>
      <c r="J6" s="197"/>
      <c r="K6" s="197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1"/>
      <c r="AE6" s="193" t="s">
        <v>192</v>
      </c>
    </row>
    <row r="7" spans="1:31" ht="9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1"/>
      <c r="AD7" s="192">
        <v>1</v>
      </c>
      <c r="AE7" s="193" t="s">
        <v>232</v>
      </c>
    </row>
    <row r="8" spans="1:36" ht="19.5" customHeight="1" thickBot="1">
      <c r="A8" s="190"/>
      <c r="B8" s="492" t="str">
        <f>+IF(Q5&gt;=1,LOOKUP(Q5,AD7:AE8),"")</f>
        <v>V e n t a s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3"/>
      <c r="U8" s="199"/>
      <c r="V8" s="191"/>
      <c r="AD8" s="192">
        <v>2</v>
      </c>
      <c r="AE8" s="193" t="s">
        <v>193</v>
      </c>
      <c r="AI8" s="192" t="s">
        <v>233</v>
      </c>
      <c r="AJ8" s="192">
        <v>1</v>
      </c>
    </row>
    <row r="9" spans="1:36" ht="15" customHeight="1">
      <c r="A9" s="190"/>
      <c r="B9" s="190"/>
      <c r="C9" s="190"/>
      <c r="D9" s="190"/>
      <c r="E9" s="190"/>
      <c r="F9" s="190"/>
      <c r="G9" s="190"/>
      <c r="H9" s="190"/>
      <c r="I9" s="227"/>
      <c r="J9" s="227"/>
      <c r="K9" s="227"/>
      <c r="L9" s="227"/>
      <c r="M9" s="227"/>
      <c r="N9" s="190"/>
      <c r="O9" s="190"/>
      <c r="P9" s="190"/>
      <c r="Q9" s="190"/>
      <c r="R9" s="227"/>
      <c r="S9" s="190"/>
      <c r="T9" s="190"/>
      <c r="U9" s="190"/>
      <c r="V9" s="191"/>
      <c r="AI9" s="192" t="s">
        <v>234</v>
      </c>
      <c r="AJ9" s="192">
        <v>2</v>
      </c>
    </row>
    <row r="10" spans="1:36" ht="15.75" customHeight="1">
      <c r="A10" s="228"/>
      <c r="B10" s="494" t="str">
        <f>+IF(Q5&gt;=1,LOOKUP(Q5,AD10:AE11),"")</f>
        <v>Tipo de Venta</v>
      </c>
      <c r="C10" s="495"/>
      <c r="D10" s="495"/>
      <c r="E10" s="495"/>
      <c r="F10" s="495"/>
      <c r="G10" s="495"/>
      <c r="H10" s="496"/>
      <c r="I10" s="519" t="s">
        <v>235</v>
      </c>
      <c r="J10" s="520"/>
      <c r="K10" s="520"/>
      <c r="L10" s="520"/>
      <c r="M10" s="520"/>
      <c r="N10" s="291">
        <f>IF(OR(I10="",R10="",I12="",AND(K12=1,Q12="")),"",AF22)</f>
        <v>1</v>
      </c>
      <c r="O10" s="506" t="s">
        <v>194</v>
      </c>
      <c r="P10" s="507"/>
      <c r="Q10" s="508"/>
      <c r="R10" s="229" t="s">
        <v>88</v>
      </c>
      <c r="S10" s="259">
        <f>+IF(AND(N10&lt;&gt;"",R10="si"),1,"")</f>
      </c>
      <c r="T10" s="190"/>
      <c r="U10" s="190"/>
      <c r="V10" s="191"/>
      <c r="AD10" s="192">
        <v>1</v>
      </c>
      <c r="AE10" s="193" t="s">
        <v>195</v>
      </c>
      <c r="AI10" s="192" t="s">
        <v>236</v>
      </c>
      <c r="AJ10" s="192">
        <v>3</v>
      </c>
    </row>
    <row r="11" spans="1:36" ht="17.2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230"/>
      <c r="S11" s="190"/>
      <c r="T11" s="190"/>
      <c r="U11" s="190"/>
      <c r="V11" s="191"/>
      <c r="AD11" s="192">
        <v>2</v>
      </c>
      <c r="AE11" s="193" t="s">
        <v>62</v>
      </c>
      <c r="AI11" s="192" t="s">
        <v>237</v>
      </c>
      <c r="AJ11" s="192">
        <v>4</v>
      </c>
    </row>
    <row r="12" spans="1:22" ht="17.25" customHeight="1">
      <c r="A12" s="190"/>
      <c r="B12" s="509" t="s">
        <v>238</v>
      </c>
      <c r="C12" s="510"/>
      <c r="D12" s="510"/>
      <c r="E12" s="510"/>
      <c r="F12" s="510"/>
      <c r="G12" s="510"/>
      <c r="H12" s="510"/>
      <c r="I12" s="489" t="s">
        <v>88</v>
      </c>
      <c r="J12" s="491"/>
      <c r="K12" s="290">
        <f>IF(I12="","",VLOOKUP(I12,AI1:AJ3,2,FALSE))</f>
        <v>2</v>
      </c>
      <c r="L12" s="521" t="s">
        <v>239</v>
      </c>
      <c r="M12" s="522"/>
      <c r="N12" s="522"/>
      <c r="O12" s="522"/>
      <c r="P12" s="522"/>
      <c r="Q12" s="489" t="s">
        <v>237</v>
      </c>
      <c r="R12" s="490"/>
      <c r="S12" s="490"/>
      <c r="T12" s="491"/>
      <c r="U12" s="290">
        <f>IF(Q12="","",VLOOKUP(Q12,AI7:AJ11,2,FALSE))</f>
        <v>4</v>
      </c>
      <c r="V12" s="191"/>
    </row>
    <row r="13" spans="1:32" ht="17.25" customHeight="1">
      <c r="A13" s="190"/>
      <c r="B13" s="190"/>
      <c r="C13" s="190"/>
      <c r="D13" s="197"/>
      <c r="E13" s="190"/>
      <c r="F13" s="190"/>
      <c r="G13" s="190"/>
      <c r="H13" s="190"/>
      <c r="I13" s="190"/>
      <c r="J13" s="190"/>
      <c r="K13" s="190"/>
      <c r="L13" s="197"/>
      <c r="M13" s="197"/>
      <c r="N13" s="190"/>
      <c r="O13" s="190"/>
      <c r="P13" s="190"/>
      <c r="Q13" s="190"/>
      <c r="R13" s="190"/>
      <c r="S13" s="190"/>
      <c r="T13" s="190"/>
      <c r="U13" s="190"/>
      <c r="V13" s="191"/>
      <c r="AD13" s="192">
        <v>0</v>
      </c>
      <c r="AE13" s="193" t="s">
        <v>37</v>
      </c>
      <c r="AF13" s="192">
        <f>+IF($I$10=".",0,"")</f>
      </c>
    </row>
    <row r="14" spans="1:32" ht="17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1"/>
      <c r="AD14" s="192">
        <v>1</v>
      </c>
      <c r="AE14" s="193" t="s">
        <v>235</v>
      </c>
      <c r="AF14" s="192">
        <f>+IF($I$10="Voz contado",1,"")</f>
        <v>1</v>
      </c>
    </row>
    <row r="15" spans="1:32" ht="17.25" customHeight="1">
      <c r="A15" s="190"/>
      <c r="B15" s="511" t="s">
        <v>196</v>
      </c>
      <c r="C15" s="511"/>
      <c r="D15" s="511"/>
      <c r="E15" s="511"/>
      <c r="F15" s="511" t="s">
        <v>240</v>
      </c>
      <c r="G15" s="511"/>
      <c r="H15" s="511"/>
      <c r="I15" s="511"/>
      <c r="J15" s="231" t="s">
        <v>197</v>
      </c>
      <c r="K15" s="511" t="s">
        <v>241</v>
      </c>
      <c r="L15" s="511"/>
      <c r="M15" s="511"/>
      <c r="N15" s="511"/>
      <c r="O15" s="512"/>
      <c r="P15" s="512"/>
      <c r="Q15" s="512"/>
      <c r="R15" s="512"/>
      <c r="S15" s="232"/>
      <c r="T15" s="233" t="s">
        <v>198</v>
      </c>
      <c r="U15" s="190"/>
      <c r="V15" s="191"/>
      <c r="AD15" s="192">
        <v>2</v>
      </c>
      <c r="AE15" s="193" t="s">
        <v>242</v>
      </c>
      <c r="AF15" s="192">
        <f>+IF($I$10="Datos contado",2,"")</f>
      </c>
    </row>
    <row r="16" spans="1:32" ht="10.5" customHeight="1">
      <c r="A16" s="190"/>
      <c r="B16" s="190"/>
      <c r="C16" s="190"/>
      <c r="D16" s="190"/>
      <c r="E16" s="190"/>
      <c r="F16" s="259">
        <f>+IF(F17&gt;=1,1,0)</f>
        <v>0</v>
      </c>
      <c r="G16" s="198"/>
      <c r="H16" s="198"/>
      <c r="I16" s="198"/>
      <c r="J16" s="198"/>
      <c r="K16" s="260">
        <f>+IF(K17&gt;=1,1,0)</f>
        <v>1</v>
      </c>
      <c r="L16" s="200"/>
      <c r="M16" s="200"/>
      <c r="N16" s="200"/>
      <c r="O16" s="259">
        <f>+F16+K16+R16</f>
        <v>1</v>
      </c>
      <c r="P16" s="198"/>
      <c r="Q16" s="198"/>
      <c r="R16" s="259">
        <f>+IF(R17="Si",1,0)</f>
        <v>0</v>
      </c>
      <c r="S16" s="190"/>
      <c r="T16" s="190"/>
      <c r="U16" s="190"/>
      <c r="V16" s="191"/>
      <c r="AD16" s="192">
        <v>3</v>
      </c>
      <c r="AE16" s="193" t="s">
        <v>243</v>
      </c>
      <c r="AF16" s="192">
        <f>+IF($I$10="Voz a cuotas",3,"")</f>
      </c>
    </row>
    <row r="17" spans="1:32" ht="15">
      <c r="A17" s="201">
        <f>+IF(O16&gt;=2,"-&gt;","")</f>
      </c>
      <c r="B17" s="513" t="s">
        <v>200</v>
      </c>
      <c r="C17" s="513"/>
      <c r="D17" s="513"/>
      <c r="E17" s="197"/>
      <c r="F17" s="514"/>
      <c r="G17" s="515"/>
      <c r="H17" s="515"/>
      <c r="I17" s="516"/>
      <c r="J17" s="234" t="s">
        <v>197</v>
      </c>
      <c r="K17" s="514">
        <v>8420</v>
      </c>
      <c r="L17" s="515"/>
      <c r="M17" s="515"/>
      <c r="N17" s="517"/>
      <c r="O17" s="258">
        <f>+IF(O16&gt;=2,1,0)</f>
        <v>0</v>
      </c>
      <c r="P17" s="518" t="s">
        <v>201</v>
      </c>
      <c r="Q17" s="518"/>
      <c r="R17" s="235"/>
      <c r="S17" s="197"/>
      <c r="T17" s="236"/>
      <c r="U17" s="290">
        <f>+IF(AND(S10=1,T17&lt;&gt;""),T17,1)</f>
        <v>1</v>
      </c>
      <c r="V17" s="191"/>
      <c r="AD17" s="192">
        <v>4</v>
      </c>
      <c r="AE17" s="193" t="s">
        <v>244</v>
      </c>
      <c r="AF17" s="192">
        <f>+IF($I$10="Datos a cuotas",4,"")</f>
      </c>
    </row>
    <row r="18" spans="1:32" ht="13.5">
      <c r="A18" s="190"/>
      <c r="B18" s="190"/>
      <c r="C18" s="190"/>
      <c r="D18" s="190"/>
      <c r="E18" s="190"/>
      <c r="F18" s="259">
        <f>+IF(F19&gt;=1,1,0)</f>
        <v>0</v>
      </c>
      <c r="G18" s="190"/>
      <c r="H18" s="190"/>
      <c r="I18" s="190"/>
      <c r="J18" s="190"/>
      <c r="K18" s="259">
        <f>+IF(K19&gt;=1,1,0)</f>
        <v>0</v>
      </c>
      <c r="L18" s="190"/>
      <c r="M18" s="190"/>
      <c r="N18" s="190"/>
      <c r="O18" s="259">
        <f>+F18+K18+R18</f>
        <v>0</v>
      </c>
      <c r="P18" s="190"/>
      <c r="Q18" s="190"/>
      <c r="R18" s="261">
        <f>+IF(R19="Si",1,0)</f>
        <v>0</v>
      </c>
      <c r="S18" s="190"/>
      <c r="T18" s="230"/>
      <c r="U18" s="198"/>
      <c r="V18" s="191"/>
      <c r="AD18" s="192">
        <v>5</v>
      </c>
      <c r="AE18" s="193" t="s">
        <v>199</v>
      </c>
      <c r="AF18" s="192">
        <f>+IF($I$10="Reposición voluntaria con WB",5,"")</f>
      </c>
    </row>
    <row r="19" spans="1:32" ht="15">
      <c r="A19" s="201">
        <f>+IF(O18&gt;=2,"-&gt;","")</f>
      </c>
      <c r="B19" s="513" t="s">
        <v>204</v>
      </c>
      <c r="C19" s="513"/>
      <c r="D19" s="513"/>
      <c r="E19" s="190"/>
      <c r="F19" s="514"/>
      <c r="G19" s="515"/>
      <c r="H19" s="515"/>
      <c r="I19" s="517"/>
      <c r="J19" s="234" t="s">
        <v>197</v>
      </c>
      <c r="K19" s="514"/>
      <c r="L19" s="515"/>
      <c r="M19" s="515"/>
      <c r="N19" s="516"/>
      <c r="O19" s="258">
        <f>+IF(O18&gt;=2,1,0)</f>
        <v>0</v>
      </c>
      <c r="P19" s="518" t="s">
        <v>205</v>
      </c>
      <c r="Q19" s="518"/>
      <c r="R19" s="235"/>
      <c r="S19" s="197"/>
      <c r="T19" s="235"/>
      <c r="U19" s="289">
        <f>+IF(AND(S10=1,T19&lt;&gt;""),T19,1)</f>
        <v>1</v>
      </c>
      <c r="V19" s="191"/>
      <c r="AD19" s="192">
        <v>6</v>
      </c>
      <c r="AE19" s="193" t="s">
        <v>202</v>
      </c>
      <c r="AF19" s="192">
        <f>+IF($I$10="Repo por Robo solo equipo",6,"")</f>
      </c>
    </row>
    <row r="20" spans="1:32" ht="13.5">
      <c r="A20" s="190"/>
      <c r="B20" s="190"/>
      <c r="C20" s="190"/>
      <c r="D20" s="190"/>
      <c r="E20" s="190"/>
      <c r="F20" s="259">
        <f>+IF(F21&gt;=1,1,0)</f>
        <v>0</v>
      </c>
      <c r="G20" s="190"/>
      <c r="H20" s="190"/>
      <c r="I20" s="190"/>
      <c r="J20" s="190"/>
      <c r="K20" s="259">
        <f>+IF(K21&gt;=1,1,0)</f>
        <v>0</v>
      </c>
      <c r="L20" s="190"/>
      <c r="M20" s="190"/>
      <c r="N20" s="190"/>
      <c r="O20" s="259">
        <f>+F20+K20</f>
        <v>0</v>
      </c>
      <c r="P20" s="190"/>
      <c r="Q20" s="190"/>
      <c r="R20" s="190"/>
      <c r="S20" s="190"/>
      <c r="T20" s="230"/>
      <c r="U20" s="198"/>
      <c r="V20" s="191"/>
      <c r="AD20" s="192">
        <v>7</v>
      </c>
      <c r="AE20" s="193" t="s">
        <v>203</v>
      </c>
      <c r="AF20" s="192">
        <f>+IF($I$10="Repo por Robo equipo y sim",7,"")</f>
      </c>
    </row>
    <row r="21" spans="1:38" ht="15">
      <c r="A21" s="201">
        <f>+IF(O20=2,"-&gt;","")</f>
      </c>
      <c r="B21" s="513" t="s">
        <v>206</v>
      </c>
      <c r="C21" s="513"/>
      <c r="D21" s="513"/>
      <c r="E21" s="190"/>
      <c r="F21" s="514"/>
      <c r="G21" s="515"/>
      <c r="H21" s="515"/>
      <c r="I21" s="516"/>
      <c r="J21" s="190" t="s">
        <v>197</v>
      </c>
      <c r="K21" s="514"/>
      <c r="L21" s="515"/>
      <c r="M21" s="515"/>
      <c r="N21" s="516"/>
      <c r="O21" s="259">
        <f>+IF(O20=2,1,0)</f>
        <v>0</v>
      </c>
      <c r="P21" s="190"/>
      <c r="Q21" s="289">
        <f>+O17+O19+O21</f>
        <v>0</v>
      </c>
      <c r="R21" s="190"/>
      <c r="S21" s="197"/>
      <c r="T21" s="237"/>
      <c r="U21" s="290">
        <f>+IF(AND(S10=1,T21&lt;&gt;""),T21,1)</f>
        <v>1</v>
      </c>
      <c r="V21" s="191"/>
      <c r="AI21" s="192">
        <f>+IF(Q5=2,1,0)</f>
        <v>1</v>
      </c>
      <c r="AJ21" s="192">
        <f>+IF(Q5=1,5,0)</f>
        <v>0</v>
      </c>
      <c r="AK21" s="192">
        <f>+AI21+AJ21</f>
        <v>1</v>
      </c>
      <c r="AL21" s="193" t="str">
        <f>LOOKUP(AK21,$AD$13:$AE$20)</f>
        <v>Voz contado</v>
      </c>
    </row>
    <row r="22" spans="1:38" ht="11.25" customHeight="1">
      <c r="A22" s="190"/>
      <c r="B22" s="543">
        <f>+IF(Q21=0,"","Error, indique un solo valor con IVA o sin IVA o si es gratis.")</f>
      </c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202"/>
      <c r="U22" s="190"/>
      <c r="V22" s="191"/>
      <c r="AF22" s="192">
        <f>+SUM(AF13:AF20)</f>
        <v>1</v>
      </c>
      <c r="AI22" s="192">
        <f>+IF(Q5=2,2,0)</f>
        <v>2</v>
      </c>
      <c r="AJ22" s="192">
        <f>+IF(Q5=1,6,0)</f>
        <v>0</v>
      </c>
      <c r="AK22" s="192">
        <f>+AI22+AJ22</f>
        <v>2</v>
      </c>
      <c r="AL22" s="193" t="str">
        <f>LOOKUP(AK22,$AD$13:$AE$20)</f>
        <v>Datos contado</v>
      </c>
    </row>
    <row r="23" spans="1:38" ht="11.25" customHeight="1">
      <c r="A23" s="190"/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190"/>
      <c r="U23" s="190"/>
      <c r="V23" s="191"/>
      <c r="AE23" s="193">
        <v>200613</v>
      </c>
      <c r="AI23" s="192">
        <f>+IF(Q5=2,3,0)</f>
        <v>3</v>
      </c>
      <c r="AJ23" s="192">
        <f>+IF(Q5=1,7,0)</f>
        <v>0</v>
      </c>
      <c r="AK23" s="192">
        <f>+AI23+AJ23</f>
        <v>3</v>
      </c>
      <c r="AL23" s="193" t="str">
        <f>LOOKUP(AK23,$AD$13:$AE$20)</f>
        <v>Voz a cuotas</v>
      </c>
    </row>
    <row r="24" spans="1:38" ht="15.75" customHeight="1">
      <c r="A24" s="190"/>
      <c r="B24" s="190"/>
      <c r="C24" s="190"/>
      <c r="D24" s="544" t="s">
        <v>207</v>
      </c>
      <c r="E24" s="545"/>
      <c r="F24" s="545"/>
      <c r="G24" s="545"/>
      <c r="H24" s="545"/>
      <c r="I24" s="545"/>
      <c r="J24" s="545"/>
      <c r="K24" s="545"/>
      <c r="L24" s="545"/>
      <c r="M24" s="546"/>
      <c r="N24" s="547" t="s">
        <v>208</v>
      </c>
      <c r="O24" s="548"/>
      <c r="P24" s="548"/>
      <c r="Q24" s="549"/>
      <c r="R24" s="190"/>
      <c r="S24" s="190"/>
      <c r="T24" s="190"/>
      <c r="U24" s="190"/>
      <c r="V24" s="191"/>
      <c r="AE24" s="193">
        <v>61697</v>
      </c>
      <c r="AI24" s="192">
        <f>+IF(Q5=2,4,0)</f>
        <v>4</v>
      </c>
      <c r="AJ24" s="192">
        <f>+IF(Q5=1,0,0)</f>
        <v>0</v>
      </c>
      <c r="AK24" s="192">
        <f>+AI24+AJ24</f>
        <v>4</v>
      </c>
      <c r="AL24" s="193" t="str">
        <f>LOOKUP(AK24,$AD$13:$AE$20)</f>
        <v>Datos a cuotas</v>
      </c>
    </row>
    <row r="25" spans="1:22" ht="15.75" customHeight="1">
      <c r="A25" s="190"/>
      <c r="B25" s="190"/>
      <c r="C25" s="190"/>
      <c r="D25" s="550" t="s">
        <v>245</v>
      </c>
      <c r="E25" s="551"/>
      <c r="F25" s="551"/>
      <c r="G25" s="551"/>
      <c r="H25" s="551"/>
      <c r="I25" s="551"/>
      <c r="J25" s="551"/>
      <c r="K25" s="551"/>
      <c r="L25" s="551"/>
      <c r="M25" s="552"/>
      <c r="N25" s="553">
        <f>+IF(AND(N10&lt;&gt;"",Q21=0),0,"")</f>
        <v>0</v>
      </c>
      <c r="O25" s="554"/>
      <c r="P25" s="554"/>
      <c r="Q25" s="555"/>
      <c r="R25" s="190"/>
      <c r="S25" s="190"/>
      <c r="T25" s="190"/>
      <c r="U25" s="190"/>
      <c r="V25" s="191"/>
    </row>
    <row r="26" spans="1:31" ht="15.75" customHeight="1" thickBot="1">
      <c r="A26" s="190"/>
      <c r="B26" s="190"/>
      <c r="C26" s="190"/>
      <c r="D26" s="540" t="s">
        <v>209</v>
      </c>
      <c r="E26" s="541"/>
      <c r="F26" s="541"/>
      <c r="G26" s="541"/>
      <c r="H26" s="541"/>
      <c r="I26" s="541"/>
      <c r="J26" s="541"/>
      <c r="K26" s="541"/>
      <c r="L26" s="541"/>
      <c r="M26" s="542"/>
      <c r="N26" s="527">
        <f>+IF(AND(N10&lt;&gt;"",Q21=0),AE53,"")</f>
        <v>7258.620689655173</v>
      </c>
      <c r="O26" s="528"/>
      <c r="P26" s="528"/>
      <c r="Q26" s="529"/>
      <c r="R26" s="190"/>
      <c r="S26" s="190"/>
      <c r="T26" s="190"/>
      <c r="U26" s="190"/>
      <c r="V26" s="191"/>
      <c r="AE26" s="193" t="s">
        <v>210</v>
      </c>
    </row>
    <row r="27" spans="1:38" ht="15.75" customHeight="1" thickTop="1">
      <c r="A27" s="190"/>
      <c r="B27" s="190"/>
      <c r="C27" s="190"/>
      <c r="D27" s="540" t="s">
        <v>211</v>
      </c>
      <c r="E27" s="541"/>
      <c r="F27" s="541"/>
      <c r="G27" s="541"/>
      <c r="H27" s="541"/>
      <c r="I27" s="541"/>
      <c r="J27" s="541"/>
      <c r="K27" s="541"/>
      <c r="L27" s="541"/>
      <c r="M27" s="542"/>
      <c r="N27" s="527">
        <f>+IF(AND(N10&lt;&gt;"",Q21=0),AE54,"")</f>
        <v>0</v>
      </c>
      <c r="O27" s="528"/>
      <c r="P27" s="528"/>
      <c r="Q27" s="529"/>
      <c r="R27" s="190"/>
      <c r="S27" s="190"/>
      <c r="T27" s="190"/>
      <c r="U27" s="190"/>
      <c r="V27" s="191"/>
      <c r="AC27" s="238">
        <v>1</v>
      </c>
      <c r="AD27" s="239" t="s">
        <v>212</v>
      </c>
      <c r="AE27" s="240">
        <f>+IF(AND(N10=1,Q21=0),AL45,0)</f>
        <v>7258.620689655173</v>
      </c>
      <c r="AF27" s="239">
        <f>+IF(AND(N10=1,Q21=0,R16=1),(7920*U17),0)</f>
        <v>0</v>
      </c>
      <c r="AG27" s="241"/>
      <c r="AJ27" s="242">
        <v>1</v>
      </c>
      <c r="AK27" s="243" t="s">
        <v>212</v>
      </c>
      <c r="AL27" s="244">
        <f>+IF(AND(U12=1,Q21=0),(((F17+(K17/1.16))*U17)),0)</f>
        <v>0</v>
      </c>
    </row>
    <row r="28" spans="1:38" ht="15.75" customHeight="1">
      <c r="A28" s="190"/>
      <c r="B28" s="190"/>
      <c r="C28" s="190"/>
      <c r="D28" s="524" t="s">
        <v>213</v>
      </c>
      <c r="E28" s="525"/>
      <c r="F28" s="525"/>
      <c r="G28" s="525"/>
      <c r="H28" s="525"/>
      <c r="I28" s="525"/>
      <c r="J28" s="525"/>
      <c r="K28" s="525"/>
      <c r="L28" s="525"/>
      <c r="M28" s="526"/>
      <c r="N28" s="527">
        <f>+IF(AND(N10&lt;&gt;"",Q21=0),AE55+AF55,"")</f>
        <v>1161.3793103448277</v>
      </c>
      <c r="O28" s="528"/>
      <c r="P28" s="528"/>
      <c r="Q28" s="529"/>
      <c r="R28" s="190"/>
      <c r="S28" s="190"/>
      <c r="T28" s="190"/>
      <c r="U28" s="190"/>
      <c r="V28" s="191"/>
      <c r="AC28" s="245"/>
      <c r="AD28" s="246" t="s">
        <v>214</v>
      </c>
      <c r="AE28" s="247">
        <f>+IF(AND(N10=1,Q21=0),((F21+(K21/1.2))*U21),0)</f>
        <v>0</v>
      </c>
      <c r="AF28" s="246">
        <f>+IF(AND(N10=1,Q21=0,R18=1),(320*U19),0)</f>
        <v>0</v>
      </c>
      <c r="AG28" s="248"/>
      <c r="AJ28" s="249"/>
      <c r="AK28" s="250" t="s">
        <v>213</v>
      </c>
      <c r="AL28" s="251">
        <f>+IF(AND(U12=1,Q21=0),(AL27*0.16),0)</f>
        <v>0</v>
      </c>
    </row>
    <row r="29" spans="1:33" ht="15.75" customHeight="1" thickBot="1">
      <c r="A29" s="190"/>
      <c r="B29" s="190"/>
      <c r="C29" s="190"/>
      <c r="D29" s="530" t="s">
        <v>246</v>
      </c>
      <c r="E29" s="531"/>
      <c r="F29" s="531"/>
      <c r="G29" s="531"/>
      <c r="H29" s="532"/>
      <c r="I29" s="533">
        <f>+IF(AND(N10&lt;&gt;"",Q21=0),AC56,"")</f>
        <v>0</v>
      </c>
      <c r="J29" s="534"/>
      <c r="K29" s="534"/>
      <c r="L29" s="535" t="s">
        <v>215</v>
      </c>
      <c r="M29" s="536"/>
      <c r="N29" s="537">
        <f>+IF(AND(N10&lt;&gt;"",Q21=0),AE56,"")</f>
        <v>8420</v>
      </c>
      <c r="O29" s="538"/>
      <c r="P29" s="538"/>
      <c r="Q29" s="539"/>
      <c r="R29" s="190"/>
      <c r="S29" s="190"/>
      <c r="T29" s="190"/>
      <c r="U29" s="190"/>
      <c r="V29" s="191"/>
      <c r="AC29" s="245"/>
      <c r="AD29" s="246" t="s">
        <v>216</v>
      </c>
      <c r="AE29" s="247">
        <f>+IF(AND(N10=1,Q21=0),(AL46+(AE28*0.16)),0)</f>
        <v>1161.3793103448277</v>
      </c>
      <c r="AF29" s="246">
        <f>+AF27+AF28</f>
        <v>0</v>
      </c>
      <c r="AG29" s="248"/>
    </row>
    <row r="30" spans="1:41" ht="28.5" customHeight="1" thickBot="1" thickTop="1">
      <c r="A30" s="523" t="s">
        <v>265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191"/>
      <c r="AC30" s="252">
        <f>+IF(AND(N10=1,Q21=0),(AE28*0.04),0)</f>
        <v>0</v>
      </c>
      <c r="AD30" s="253" t="s">
        <v>217</v>
      </c>
      <c r="AE30" s="254">
        <f>+IF(AND(N10=1,Q21=0),SUM(AE27+AE28+AE29+AF29+AC30),0)</f>
        <v>8420</v>
      </c>
      <c r="AF30" s="253"/>
      <c r="AG30" s="255"/>
      <c r="AM30" s="192">
        <v>1154163</v>
      </c>
      <c r="AO30" s="192">
        <v>2200962</v>
      </c>
    </row>
    <row r="31" spans="1:76" s="292" customFormat="1" ht="19.5" customHeight="1" thickTop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294"/>
      <c r="V31" s="296"/>
      <c r="W31" s="191"/>
      <c r="X31" s="191"/>
      <c r="Y31" s="191"/>
      <c r="Z31" s="191"/>
      <c r="AA31" s="191"/>
      <c r="AB31" s="191"/>
      <c r="AC31" s="191"/>
      <c r="AD31" s="191"/>
      <c r="AE31" s="203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295"/>
    </row>
    <row r="32" spans="22:41" ht="19.5" customHeight="1" hidden="1" thickTop="1">
      <c r="V32" s="191"/>
      <c r="AC32" s="238">
        <v>2</v>
      </c>
      <c r="AD32" s="239" t="s">
        <v>212</v>
      </c>
      <c r="AE32" s="240">
        <f>+IF(AND(N10=2,Q21=0),AL45,0)</f>
        <v>0</v>
      </c>
      <c r="AF32" s="239">
        <f>+IF(AND(N10=2,Q21=0,R16=1),(7920*U17),0)</f>
        <v>0</v>
      </c>
      <c r="AG32" s="241"/>
      <c r="AJ32" s="242">
        <v>2</v>
      </c>
      <c r="AK32" s="243" t="s">
        <v>212</v>
      </c>
      <c r="AL32" s="243">
        <f>+IF(AND(U12=2,Q21=0),((AM32+AN32+AO32)*U17),0)</f>
        <v>0</v>
      </c>
      <c r="AM32" s="243">
        <f>+IF(AND(U12=2,F17&gt;AM30),F17,0)</f>
        <v>0</v>
      </c>
      <c r="AN32" s="243">
        <f>+IF(AND(AM32=0,U12=2,K17&gt;AM30),K17/1.16,0)</f>
        <v>0</v>
      </c>
      <c r="AO32" s="244">
        <f>+IF(AND(U12=2,Q21=0,F17&lt;AM30,K17&lt;AM30),((F17+K17)*U17),0)</f>
        <v>0</v>
      </c>
    </row>
    <row r="33" spans="22:41" ht="19.5" customHeight="1" hidden="1">
      <c r="V33" s="191"/>
      <c r="AC33" s="245"/>
      <c r="AD33" s="246" t="s">
        <v>214</v>
      </c>
      <c r="AE33" s="247">
        <f>+IF(AND(N10=2,Q21=0),((F21+(K21/1.16))*U21),0)</f>
        <v>0</v>
      </c>
      <c r="AF33" s="246">
        <f>+IF(AND(N10=2,Q21=0,R18=1),(320*U19),0)</f>
        <v>0</v>
      </c>
      <c r="AG33" s="248"/>
      <c r="AJ33" s="249"/>
      <c r="AK33" s="250" t="s">
        <v>213</v>
      </c>
      <c r="AL33" s="250">
        <f>+IF(AND(U12=2,Q21=0),AM33+AN33,0)</f>
        <v>0</v>
      </c>
      <c r="AM33" s="250">
        <f>+IF(AND(U12=2,F17&gt;AM30),F17*16%,0)</f>
        <v>0</v>
      </c>
      <c r="AN33" s="250">
        <f>+IF(AND(AM32=0,U12=2,K17&gt;AM30),(K17/1.16)*16%,0)</f>
        <v>0</v>
      </c>
      <c r="AO33" s="251"/>
    </row>
    <row r="34" spans="22:33" ht="19.5" customHeight="1" hidden="1" thickBot="1">
      <c r="V34" s="191"/>
      <c r="AC34" s="245"/>
      <c r="AD34" s="246" t="s">
        <v>216</v>
      </c>
      <c r="AE34" s="247">
        <f>+IF(AND(N10=2,Q21=0),(AL46+(AE33*0.16)),0)</f>
        <v>0</v>
      </c>
      <c r="AF34" s="246">
        <f>+AF33+AF32</f>
        <v>0</v>
      </c>
      <c r="AG34" s="248"/>
    </row>
    <row r="35" spans="22:33" ht="19.5" customHeight="1" hidden="1" thickBot="1" thickTop="1">
      <c r="V35" s="191"/>
      <c r="AC35" s="252"/>
      <c r="AD35" s="253" t="s">
        <v>217</v>
      </c>
      <c r="AE35" s="254">
        <f>+IF(AND(N10=2,Q21=0),SUM(AE32+AE33+AE34+AF34),0)</f>
        <v>0</v>
      </c>
      <c r="AF35" s="253"/>
      <c r="AG35" s="255"/>
    </row>
    <row r="36" spans="22:41" ht="19.5" customHeight="1" hidden="1" thickBot="1" thickTop="1">
      <c r="V36" s="191"/>
      <c r="AJ36" s="242">
        <v>3</v>
      </c>
      <c r="AK36" s="243" t="s">
        <v>212</v>
      </c>
      <c r="AL36" s="243">
        <f>+IF(AND(U12=3,Q21=0),((AM36+AN36+AO36)*U17),0)</f>
        <v>0</v>
      </c>
      <c r="AM36" s="243">
        <f>+IF(AND(U12=3,F17&gt;AO30),F17,0)</f>
        <v>0</v>
      </c>
      <c r="AN36" s="243">
        <f>+IF(AND(AM36=0,U12=3,K17&gt;AO30),K17/1.16,0)</f>
        <v>0</v>
      </c>
      <c r="AO36" s="244">
        <f>+IF(AND(U12=3,Q21=0,F17&lt;AO30,K17&lt;AO30),((F17+K17)*U17),0)</f>
        <v>0</v>
      </c>
    </row>
    <row r="37" spans="22:41" ht="19.5" customHeight="1" hidden="1" thickTop="1">
      <c r="V37" s="191"/>
      <c r="AC37" s="238">
        <v>3</v>
      </c>
      <c r="AD37" s="239" t="s">
        <v>212</v>
      </c>
      <c r="AE37" s="240">
        <v>0</v>
      </c>
      <c r="AF37" s="239">
        <f>+IF(AND(N10=3,Q21=0,R16=1),(7920*U17),0)</f>
        <v>0</v>
      </c>
      <c r="AG37" s="256">
        <f>+IF(AND(N10=3,Q21=0),AL45,0)</f>
        <v>0</v>
      </c>
      <c r="AJ37" s="249"/>
      <c r="AK37" s="250" t="s">
        <v>213</v>
      </c>
      <c r="AL37" s="250">
        <f>+IF(AND(U12=3,Q21=0),AM37+AN37,0)</f>
        <v>0</v>
      </c>
      <c r="AM37" s="250">
        <f>+IF(AND(U12=3,F17&gt;AO30),F17*16%,0)</f>
        <v>0</v>
      </c>
      <c r="AN37" s="250">
        <f>+IF(AND(AM36=0,U12=3,K17&gt;AO30),(K17/1.16)*16%,0)</f>
        <v>0</v>
      </c>
      <c r="AO37" s="251"/>
    </row>
    <row r="38" spans="22:33" ht="19.5" customHeight="1" hidden="1">
      <c r="V38" s="191"/>
      <c r="AC38" s="245"/>
      <c r="AD38" s="246" t="s">
        <v>214</v>
      </c>
      <c r="AE38" s="247">
        <f>+IF(AND(N10=3,Q21=0),((F21+(K21/1.2))*U21),0)</f>
        <v>0</v>
      </c>
      <c r="AF38" s="246">
        <f>+IF(AND(N10=3,Q21=0,R18=1),(320*U19),0)</f>
        <v>0</v>
      </c>
      <c r="AG38" s="248"/>
    </row>
    <row r="39" spans="22:38" ht="19.5" customHeight="1" hidden="1" thickBot="1">
      <c r="V39" s="191"/>
      <c r="AC39" s="245"/>
      <c r="AD39" s="246" t="s">
        <v>216</v>
      </c>
      <c r="AE39" s="247">
        <f>+IF(AND(N10=3,Q21=0),(AL46+(AE38*0.16)),0)</f>
        <v>0</v>
      </c>
      <c r="AF39" s="246">
        <f>+AF38+AF37</f>
        <v>0</v>
      </c>
      <c r="AG39" s="248"/>
      <c r="AJ39" s="242">
        <v>4</v>
      </c>
      <c r="AK39" s="243" t="s">
        <v>212</v>
      </c>
      <c r="AL39" s="244">
        <f>+IF(AND(U12=4,Q21=0),(((F17+(K17/1.16))*U17)),0)</f>
        <v>7258.620689655173</v>
      </c>
    </row>
    <row r="40" spans="22:38" ht="19.5" customHeight="1" hidden="1" thickBot="1" thickTop="1">
      <c r="V40" s="191"/>
      <c r="AC40" s="252">
        <f>+IF(AND(N10=3,Q21=0),(AE38*0.04),0)</f>
        <v>0</v>
      </c>
      <c r="AD40" s="253" t="s">
        <v>217</v>
      </c>
      <c r="AE40" s="254">
        <f>+IF(AND(N10=3,Q21=0),SUM(AE37+AE38+AE39+AF39+AC40),0)</f>
        <v>0</v>
      </c>
      <c r="AF40" s="253"/>
      <c r="AG40" s="255"/>
      <c r="AJ40" s="249"/>
      <c r="AK40" s="250" t="s">
        <v>213</v>
      </c>
      <c r="AL40" s="251">
        <f>+IF(AND(U12=4,Q21=0),(AL39*0.16),0)</f>
        <v>1161.3793103448277</v>
      </c>
    </row>
    <row r="41" ht="19.5" customHeight="1" hidden="1" thickBot="1" thickTop="1">
      <c r="V41" s="191"/>
    </row>
    <row r="42" spans="22:38" ht="19.5" customHeight="1" hidden="1" thickTop="1">
      <c r="V42" s="191"/>
      <c r="AC42" s="238">
        <v>4</v>
      </c>
      <c r="AD42" s="239" t="s">
        <v>212</v>
      </c>
      <c r="AE42" s="240">
        <v>0</v>
      </c>
      <c r="AF42" s="239">
        <f>+IF(AND(N10=4,Q21=0,R16=1),(7920*U17),0)</f>
        <v>0</v>
      </c>
      <c r="AG42" s="241">
        <f>+IF(AND(N10=4,Q21=0),AL45,0)</f>
        <v>0</v>
      </c>
      <c r="AK42" s="192" t="s">
        <v>247</v>
      </c>
      <c r="AL42" s="192">
        <f>+IF(AND(N10&lt;&gt;"",Q21=0),((F19+(K19/1.16))*U19),0)</f>
        <v>0</v>
      </c>
    </row>
    <row r="43" spans="22:38" ht="19.5" customHeight="1" hidden="1">
      <c r="V43" s="191"/>
      <c r="AC43" s="245"/>
      <c r="AD43" s="246" t="s">
        <v>214</v>
      </c>
      <c r="AE43" s="247">
        <f>+IF(AND(N10=4,Q21=0),((F21+(K21/1.16))*U21),0)</f>
        <v>0</v>
      </c>
      <c r="AF43" s="246">
        <f>+IF(AND(N10=4,Q21=0,R18=1),(320*U19),0)</f>
        <v>0</v>
      </c>
      <c r="AG43" s="248"/>
      <c r="AK43" s="192" t="s">
        <v>248</v>
      </c>
      <c r="AL43" s="192">
        <f>+IF(AND(N10&lt;&gt;"",Q21=0),(AL42*0.16),0)</f>
        <v>0</v>
      </c>
    </row>
    <row r="44" spans="22:33" ht="19.5" customHeight="1" hidden="1">
      <c r="V44" s="191"/>
      <c r="AC44" s="245"/>
      <c r="AD44" s="246" t="s">
        <v>216</v>
      </c>
      <c r="AE44" s="247">
        <f>+IF(AND(N10=4,Q21=0),(AL46+(AE43*0.16)),0)</f>
        <v>0</v>
      </c>
      <c r="AF44" s="246">
        <f>+AF43+AF42</f>
        <v>0</v>
      </c>
      <c r="AG44" s="248"/>
    </row>
    <row r="45" spans="22:38" ht="19.5" customHeight="1" hidden="1" thickBot="1">
      <c r="V45" s="191"/>
      <c r="AC45" s="257"/>
      <c r="AD45" s="253" t="s">
        <v>217</v>
      </c>
      <c r="AE45" s="254">
        <f>+IF(AND(N10=4,Q21=0),SUM(AE42+AE43+AE44+AF44),0)</f>
        <v>0</v>
      </c>
      <c r="AF45" s="253"/>
      <c r="AG45" s="255"/>
      <c r="AK45" s="192" t="s">
        <v>212</v>
      </c>
      <c r="AL45" s="192">
        <f>+AL27+AL32+AL36+AL39+AL42</f>
        <v>7258.620689655173</v>
      </c>
    </row>
    <row r="46" spans="22:38" ht="19.5" customHeight="1" hidden="1" thickTop="1">
      <c r="V46" s="191"/>
      <c r="AK46" s="192" t="s">
        <v>249</v>
      </c>
      <c r="AL46" s="192">
        <f>+AL28+AL33+AL40+AL43+AL37</f>
        <v>1161.3793103448277</v>
      </c>
    </row>
    <row r="47" spans="22:32" ht="19.5" customHeight="1" hidden="1">
      <c r="V47" s="191"/>
      <c r="AC47" s="192">
        <v>5</v>
      </c>
      <c r="AD47" s="192" t="s">
        <v>212</v>
      </c>
      <c r="AE47" s="193">
        <f>+IF(AND(N10=5,Q21=0,R16&lt;&gt;1,O16&lt;&gt;0),(F17+(K17/1.16))+(11600/1.16),0)</f>
        <v>0</v>
      </c>
      <c r="AF47" s="192">
        <f>+IF(AND(N10=5,Q21=0,R16=1),7920,0)</f>
        <v>0</v>
      </c>
    </row>
    <row r="48" spans="22:32" ht="19.5" customHeight="1" hidden="1">
      <c r="V48" s="191"/>
      <c r="AD48" s="192" t="s">
        <v>214</v>
      </c>
      <c r="AE48" s="193">
        <v>0</v>
      </c>
      <c r="AF48" s="192">
        <f>+IF(AND(N10=5,Q21=0,R16=1),1600,0)</f>
        <v>0</v>
      </c>
    </row>
    <row r="49" spans="22:32" ht="19.5" customHeight="1" hidden="1">
      <c r="V49" s="191"/>
      <c r="AD49" s="192" t="s">
        <v>216</v>
      </c>
      <c r="AE49" s="193">
        <f>+IF(AND(N10=5,Q21=0),(AE47*0.16),0)</f>
        <v>0</v>
      </c>
      <c r="AF49" s="192">
        <f>+AF48+AF47</f>
        <v>0</v>
      </c>
    </row>
    <row r="50" spans="22:31" ht="19.5" customHeight="1" hidden="1">
      <c r="V50" s="191"/>
      <c r="AD50" s="192" t="s">
        <v>217</v>
      </c>
      <c r="AE50" s="193">
        <f>+IF(AND(N10=5,Q21=0),SUM(AE47+AE48+AE49+AF49),0)</f>
        <v>0</v>
      </c>
    </row>
    <row r="51" ht="19.5" customHeight="1" hidden="1">
      <c r="V51" s="191"/>
    </row>
    <row r="52" ht="19.5" customHeight="1" hidden="1">
      <c r="V52" s="191"/>
    </row>
    <row r="53" spans="22:32" ht="19.5" customHeight="1" hidden="1">
      <c r="V53" s="191"/>
      <c r="AD53" s="192" t="s">
        <v>212</v>
      </c>
      <c r="AE53" s="193">
        <f>+AE27+AE32+AE37+AE42+AE47</f>
        <v>7258.620689655173</v>
      </c>
      <c r="AF53" s="192">
        <f aca="true" t="shared" si="0" ref="AE53:AF55">+AF27+AF32+AF37+AF42+AF47</f>
        <v>0</v>
      </c>
    </row>
    <row r="54" spans="22:32" ht="19.5" customHeight="1" hidden="1">
      <c r="V54" s="191"/>
      <c r="AD54" s="192" t="s">
        <v>214</v>
      </c>
      <c r="AE54" s="193">
        <f t="shared" si="0"/>
        <v>0</v>
      </c>
      <c r="AF54" s="192">
        <f t="shared" si="0"/>
        <v>0</v>
      </c>
    </row>
    <row r="55" spans="22:32" ht="19.5" customHeight="1" hidden="1">
      <c r="V55" s="191"/>
      <c r="AD55" s="192" t="s">
        <v>216</v>
      </c>
      <c r="AE55" s="193">
        <f t="shared" si="0"/>
        <v>1161.3793103448277</v>
      </c>
      <c r="AF55" s="192">
        <f t="shared" si="0"/>
        <v>0</v>
      </c>
    </row>
    <row r="56" spans="22:31" ht="19.5" customHeight="1" hidden="1">
      <c r="V56" s="191"/>
      <c r="AC56" s="192">
        <f>+AC30+AC35+AC40</f>
        <v>0</v>
      </c>
      <c r="AD56" s="192" t="s">
        <v>217</v>
      </c>
      <c r="AE56" s="193">
        <f>+AE30+AE35+AE40+AE45+AE50</f>
        <v>8420</v>
      </c>
    </row>
    <row r="57" spans="22:31" ht="19.5" customHeight="1" hidden="1">
      <c r="V57" s="191"/>
      <c r="AE57" s="193">
        <f>+SUM(AE53:AE55)+AF55+AC56</f>
        <v>8420</v>
      </c>
    </row>
    <row r="58" ht="19.5" customHeight="1" hidden="1">
      <c r="V58" s="191"/>
    </row>
    <row r="59" ht="19.5" customHeight="1" hidden="1">
      <c r="V59" s="191"/>
    </row>
    <row r="60" ht="19.5" customHeight="1" hidden="1">
      <c r="V60" s="191"/>
    </row>
    <row r="61" ht="19.5" customHeight="1" hidden="1">
      <c r="V61" s="191"/>
    </row>
    <row r="62" ht="19.5" customHeight="1" hidden="1">
      <c r="V62" s="191"/>
    </row>
    <row r="63" ht="19.5" customHeight="1" hidden="1">
      <c r="V63" s="191"/>
    </row>
    <row r="64" ht="19.5" customHeight="1" hidden="1">
      <c r="V64" s="191"/>
    </row>
    <row r="65" ht="19.5" customHeight="1" hidden="1">
      <c r="V65" s="191"/>
    </row>
  </sheetData>
  <sheetProtection password="CC47" sheet="1" selectLockedCells="1"/>
  <mergeCells count="43">
    <mergeCell ref="D27:M27"/>
    <mergeCell ref="N27:Q27"/>
    <mergeCell ref="B22:S23"/>
    <mergeCell ref="D24:M24"/>
    <mergeCell ref="N24:Q24"/>
    <mergeCell ref="N26:Q26"/>
    <mergeCell ref="D25:M25"/>
    <mergeCell ref="N25:Q25"/>
    <mergeCell ref="D26:M26"/>
    <mergeCell ref="A30:U30"/>
    <mergeCell ref="D28:M28"/>
    <mergeCell ref="N28:Q28"/>
    <mergeCell ref="D29:H29"/>
    <mergeCell ref="I29:K29"/>
    <mergeCell ref="L29:M29"/>
    <mergeCell ref="N29:Q29"/>
    <mergeCell ref="B21:D21"/>
    <mergeCell ref="F21:I21"/>
    <mergeCell ref="K21:N21"/>
    <mergeCell ref="I10:M10"/>
    <mergeCell ref="I12:J12"/>
    <mergeCell ref="L12:P12"/>
    <mergeCell ref="B19:D19"/>
    <mergeCell ref="F19:I19"/>
    <mergeCell ref="K19:N19"/>
    <mergeCell ref="P19:Q19"/>
    <mergeCell ref="B15:E15"/>
    <mergeCell ref="F15:I15"/>
    <mergeCell ref="K15:N15"/>
    <mergeCell ref="O15:R15"/>
    <mergeCell ref="B17:D17"/>
    <mergeCell ref="F17:I17"/>
    <mergeCell ref="K17:N17"/>
    <mergeCell ref="P17:Q17"/>
    <mergeCell ref="Q12:T12"/>
    <mergeCell ref="B8:T8"/>
    <mergeCell ref="B10:H10"/>
    <mergeCell ref="S1:T1"/>
    <mergeCell ref="B2:T2"/>
    <mergeCell ref="B5:I5"/>
    <mergeCell ref="J5:N5"/>
    <mergeCell ref="O10:Q10"/>
    <mergeCell ref="B12:H12"/>
  </mergeCells>
  <conditionalFormatting sqref="J5">
    <cfRule type="cellIs" priority="38" dxfId="70" operator="notEqual" stopIfTrue="1">
      <formula>""</formula>
    </cfRule>
  </conditionalFormatting>
  <conditionalFormatting sqref="B19:D19 B21:D21 P19:Q19 J21">
    <cfRule type="expression" priority="39" dxfId="68" stopIfTrue="1">
      <formula>Calculadora!$N$10=""</formula>
    </cfRule>
  </conditionalFormatting>
  <conditionalFormatting sqref="B17:D17">
    <cfRule type="expression" priority="40" dxfId="68" stopIfTrue="1">
      <formula>OR(Calculadora!$N$10="",Calculadora!$I$12="no")</formula>
    </cfRule>
  </conditionalFormatting>
  <conditionalFormatting sqref="B22:S23">
    <cfRule type="cellIs" priority="41" dxfId="67" operator="equal" stopIfTrue="1">
      <formula>"Error, indique un solo valor con IVA o sin IVA o si es gratis."</formula>
    </cfRule>
  </conditionalFormatting>
  <conditionalFormatting sqref="A21 A19 A17">
    <cfRule type="cellIs" priority="42" dxfId="66" operator="equal" stopIfTrue="1">
      <formula>""</formula>
    </cfRule>
  </conditionalFormatting>
  <conditionalFormatting sqref="F19:I19 F21:I21 K19:N19 K21:N21 R19">
    <cfRule type="expression" priority="32" dxfId="273" stopIfTrue="1">
      <formula>Calculadora!$N$10=""</formula>
    </cfRule>
  </conditionalFormatting>
  <conditionalFormatting sqref="K15:R15">
    <cfRule type="expression" priority="44" dxfId="256" stopIfTrue="1">
      <formula>Calculadora!$N$10=""</formula>
    </cfRule>
  </conditionalFormatting>
  <conditionalFormatting sqref="S15:T15">
    <cfRule type="expression" priority="45" dxfId="256" stopIfTrue="1">
      <formula>Calculadora!$S$10=""</formula>
    </cfRule>
  </conditionalFormatting>
  <conditionalFormatting sqref="S21">
    <cfRule type="expression" priority="46" dxfId="62" stopIfTrue="1">
      <formula>Calculadora!$S$10&lt;&gt;1</formula>
    </cfRule>
  </conditionalFormatting>
  <conditionalFormatting sqref="S17 S19">
    <cfRule type="expression" priority="47" dxfId="61" stopIfTrue="1">
      <formula>Calculadora!$S$10&lt;&gt;1</formula>
    </cfRule>
  </conditionalFormatting>
  <conditionalFormatting sqref="B10:H10">
    <cfRule type="expression" priority="50" dxfId="258" stopIfTrue="1">
      <formula>Calculadora!$Q$5=0</formula>
    </cfRule>
  </conditionalFormatting>
  <conditionalFormatting sqref="I10:M10">
    <cfRule type="expression" priority="52" dxfId="265" stopIfTrue="1">
      <formula>Calculadora!$Q$5=0</formula>
    </cfRule>
    <cfRule type="cellIs" priority="53" dxfId="58" operator="notEqual" stopIfTrue="1">
      <formula>""</formula>
    </cfRule>
  </conditionalFormatting>
  <conditionalFormatting sqref="O10:Q10">
    <cfRule type="expression" priority="54" dxfId="274" stopIfTrue="1">
      <formula>Calculadora!$Q$5=0</formula>
    </cfRule>
  </conditionalFormatting>
  <conditionalFormatting sqref="R10">
    <cfRule type="expression" priority="55" dxfId="256" stopIfTrue="1">
      <formula>Calculadora!$Q$5=0</formula>
    </cfRule>
    <cfRule type="cellIs" priority="56" dxfId="5" operator="notEqual" stopIfTrue="1">
      <formula>""</formula>
    </cfRule>
  </conditionalFormatting>
  <conditionalFormatting sqref="F17:I17">
    <cfRule type="expression" priority="12" dxfId="17" stopIfTrue="1">
      <formula>OR(Calculadora!$N$10="",Calculadora!$I$12="no")</formula>
    </cfRule>
    <cfRule type="cellIs" priority="37" dxfId="19" operator="notEqual" stopIfTrue="1">
      <formula>""</formula>
    </cfRule>
  </conditionalFormatting>
  <conditionalFormatting sqref="K17:N17">
    <cfRule type="expression" priority="10" dxfId="17" stopIfTrue="1">
      <formula>OR(Calculadora!$N$10="",Calculadora!$I$12="no")</formula>
    </cfRule>
    <cfRule type="cellIs" priority="36" dxfId="19" operator="notEqual" stopIfTrue="1">
      <formula>""</formula>
    </cfRule>
  </conditionalFormatting>
  <conditionalFormatting sqref="F19:I19">
    <cfRule type="cellIs" priority="35" dxfId="19" operator="notEqual" stopIfTrue="1">
      <formula>""</formula>
    </cfRule>
  </conditionalFormatting>
  <conditionalFormatting sqref="K19:N19">
    <cfRule type="cellIs" priority="34" dxfId="19" operator="notEqual" stopIfTrue="1">
      <formula>""</formula>
    </cfRule>
  </conditionalFormatting>
  <conditionalFormatting sqref="F21:I21">
    <cfRule type="cellIs" priority="33" dxfId="19" operator="notEqual" stopIfTrue="1">
      <formula>""</formula>
    </cfRule>
  </conditionalFormatting>
  <conditionalFormatting sqref="K21:N21">
    <cfRule type="cellIs" priority="43" dxfId="19" operator="notEqual" stopIfTrue="1">
      <formula>""</formula>
    </cfRule>
  </conditionalFormatting>
  <conditionalFormatting sqref="R17">
    <cfRule type="expression" priority="8" dxfId="17" stopIfTrue="1">
      <formula>OR(Calculadora!$N$10="",Calculadora!$I$12="no")</formula>
    </cfRule>
    <cfRule type="cellIs" priority="31" dxfId="19" operator="notEqual" stopIfTrue="1">
      <formula>""</formula>
    </cfRule>
  </conditionalFormatting>
  <conditionalFormatting sqref="R19">
    <cfRule type="cellIs" priority="30" dxfId="19" operator="notEqual" stopIfTrue="1">
      <formula>""</formula>
    </cfRule>
  </conditionalFormatting>
  <conditionalFormatting sqref="D24:M24">
    <cfRule type="expression" priority="29" dxfId="17" stopIfTrue="1">
      <formula>Calculadora!$N$10=""</formula>
    </cfRule>
  </conditionalFormatting>
  <conditionalFormatting sqref="D25:M25">
    <cfRule type="expression" priority="28" dxfId="17" stopIfTrue="1">
      <formula>Calculadora!$N$10=""</formula>
    </cfRule>
  </conditionalFormatting>
  <conditionalFormatting sqref="D26:M26">
    <cfRule type="expression" priority="27" dxfId="17" stopIfTrue="1">
      <formula>Calculadora!$N$10=""</formula>
    </cfRule>
  </conditionalFormatting>
  <conditionalFormatting sqref="D27:M27">
    <cfRule type="expression" priority="26" dxfId="17" stopIfTrue="1">
      <formula>Calculadora!$N$10=""</formula>
    </cfRule>
  </conditionalFormatting>
  <conditionalFormatting sqref="D28:M28">
    <cfRule type="expression" priority="25" dxfId="17" stopIfTrue="1">
      <formula>Calculadora!$N$10=""</formula>
    </cfRule>
  </conditionalFormatting>
  <conditionalFormatting sqref="D29:H29">
    <cfRule type="expression" priority="24" dxfId="17" stopIfTrue="1">
      <formula>Calculadora!$N$10=""</formula>
    </cfRule>
  </conditionalFormatting>
  <conditionalFormatting sqref="I29:K29">
    <cfRule type="expression" priority="23" dxfId="17" stopIfTrue="1">
      <formula>Calculadora!$N$10=""</formula>
    </cfRule>
  </conditionalFormatting>
  <conditionalFormatting sqref="L29:M29">
    <cfRule type="expression" priority="22" dxfId="17" stopIfTrue="1">
      <formula>Calculadora!$N$10=""</formula>
    </cfRule>
  </conditionalFormatting>
  <conditionalFormatting sqref="N29:Q29">
    <cfRule type="expression" priority="21" dxfId="17" stopIfTrue="1">
      <formula>Calculadora!$N$10=""</formula>
    </cfRule>
  </conditionalFormatting>
  <conditionalFormatting sqref="N28:Q28">
    <cfRule type="expression" priority="20" dxfId="17" stopIfTrue="1">
      <formula>Calculadora!$N$10=""</formula>
    </cfRule>
  </conditionalFormatting>
  <conditionalFormatting sqref="N27:Q27">
    <cfRule type="expression" priority="19" dxfId="17" stopIfTrue="1">
      <formula>Calculadora!$N$10=""</formula>
    </cfRule>
  </conditionalFormatting>
  <conditionalFormatting sqref="N26:Q26">
    <cfRule type="expression" priority="18" dxfId="17" stopIfTrue="1">
      <formula>Calculadora!$N$10=""</formula>
    </cfRule>
  </conditionalFormatting>
  <conditionalFormatting sqref="N25:Q25">
    <cfRule type="expression" priority="17" dxfId="17" stopIfTrue="1">
      <formula>Calculadora!$N$10=""</formula>
    </cfRule>
  </conditionalFormatting>
  <conditionalFormatting sqref="N24:Q24">
    <cfRule type="expression" priority="16" dxfId="17" stopIfTrue="1">
      <formula>Calculadora!$N$10=""</formula>
    </cfRule>
  </conditionalFormatting>
  <conditionalFormatting sqref="B15:E15">
    <cfRule type="expression" priority="15" dxfId="17" stopIfTrue="1">
      <formula>Calculadora!$N$10=""</formula>
    </cfRule>
  </conditionalFormatting>
  <conditionalFormatting sqref="F15:I15">
    <cfRule type="expression" priority="14" dxfId="17" stopIfTrue="1">
      <formula>Calculadora!$N$10=""</formula>
    </cfRule>
  </conditionalFormatting>
  <conditionalFormatting sqref="J15">
    <cfRule type="expression" priority="13" dxfId="17" stopIfTrue="1">
      <formula>Calculadora!$N$10=""</formula>
    </cfRule>
  </conditionalFormatting>
  <conditionalFormatting sqref="J17">
    <cfRule type="expression" priority="11" dxfId="17" stopIfTrue="1">
      <formula>OR(Calculadora!$N$10="",Calculadora!$I$12="no")</formula>
    </cfRule>
  </conditionalFormatting>
  <conditionalFormatting sqref="P17:Q17">
    <cfRule type="expression" priority="9" dxfId="25" stopIfTrue="1">
      <formula>OR(Calculadora!$N$10="",Calculadora!$I$12="no")</formula>
    </cfRule>
  </conditionalFormatting>
  <conditionalFormatting sqref="B12:H12">
    <cfRule type="expression" priority="7" dxfId="17" stopIfTrue="1">
      <formula>OR(Calculadora!$I$10="",Calculadora!$R$10="")</formula>
    </cfRule>
  </conditionalFormatting>
  <conditionalFormatting sqref="I12:J12">
    <cfRule type="expression" priority="5" dxfId="17" stopIfTrue="1">
      <formula>OR(Calculadora!$I$10="",Calculadora!$R$10="")</formula>
    </cfRule>
    <cfRule type="cellIs" priority="6" dxfId="19" operator="notEqual" stopIfTrue="1">
      <formula>""</formula>
    </cfRule>
  </conditionalFormatting>
  <conditionalFormatting sqref="L12:P12">
    <cfRule type="expression" priority="4" dxfId="17" stopIfTrue="1">
      <formula>OR(Calculadora!$I$10="",Calculadora!$R$10="",Calculadora!$I$12="",Calculadora!$I$12="no")</formula>
    </cfRule>
  </conditionalFormatting>
  <conditionalFormatting sqref="Q12:T12">
    <cfRule type="expression" priority="2" dxfId="17" stopIfTrue="1">
      <formula>OR(Calculadora!$I$10="",Calculadora!$R$10="",Calculadora!$I$12="",Calculadora!$I$12="no")</formula>
    </cfRule>
    <cfRule type="cellIs" priority="3" dxfId="19" operator="notEqual" stopIfTrue="1">
      <formula>""</formula>
    </cfRule>
  </conditionalFormatting>
  <conditionalFormatting sqref="T21 T19">
    <cfRule type="expression" priority="48" dxfId="275" stopIfTrue="1">
      <formula>Calculadora!$S$10=""</formula>
    </cfRule>
  </conditionalFormatting>
  <conditionalFormatting sqref="T17">
    <cfRule type="expression" priority="1" dxfId="17" stopIfTrue="1">
      <formula>OR(Calculadora!$S$10="",Calculadora!$I$12="no")</formula>
    </cfRule>
  </conditionalFormatting>
  <conditionalFormatting sqref="B8:T8">
    <cfRule type="expression" priority="111" dxfId="265" stopIfTrue="1">
      <formula>Calculadora!$Q$5=0</formula>
    </cfRule>
  </conditionalFormatting>
  <conditionalFormatting sqref="I9:M9 R9 R11">
    <cfRule type="expression" priority="112" dxfId="270" stopIfTrue="1">
      <formula>Calculadora!$Q$5=0</formula>
    </cfRule>
  </conditionalFormatting>
  <conditionalFormatting sqref="N10">
    <cfRule type="expression" priority="113" dxfId="0" stopIfTrue="1">
      <formula>Calculadora!$Q$5=0</formula>
    </cfRule>
  </conditionalFormatting>
  <conditionalFormatting sqref="K12">
    <cfRule type="expression" priority="114" dxfId="0" stopIfTrue="1">
      <formula>OR(Calculadora!$I$10="",Calculadora!$R$10="")</formula>
    </cfRule>
  </conditionalFormatting>
  <conditionalFormatting sqref="U12">
    <cfRule type="expression" priority="115" dxfId="0" stopIfTrue="1">
      <formula>OR(Calculadora!$I$10="",Calculadora!$R$10="",Calculadora!$I$12="",Calculadora!$I$12="no")</formula>
    </cfRule>
  </conditionalFormatting>
  <conditionalFormatting sqref="O17">
    <cfRule type="expression" priority="116" dxfId="0" stopIfTrue="1">
      <formula>OR(Calculadora!$N$10="",Calculadora!$I$12="no")</formula>
    </cfRule>
  </conditionalFormatting>
  <conditionalFormatting sqref="R18">
    <cfRule type="expression" priority="117" dxfId="260" stopIfTrue="1">
      <formula>OR(Calculadora!$N$10="",Calculadora!$I$12="no")</formula>
    </cfRule>
  </conditionalFormatting>
  <conditionalFormatting sqref="J19">
    <cfRule type="expression" priority="118" dxfId="9" stopIfTrue="1">
      <formula>Calculadora!$N$10=""</formula>
    </cfRule>
  </conditionalFormatting>
  <conditionalFormatting sqref="O19">
    <cfRule type="expression" priority="119" dxfId="0" stopIfTrue="1">
      <formula>Calculadora!$N$10=""</formula>
    </cfRule>
  </conditionalFormatting>
  <conditionalFormatting sqref="T17">
    <cfRule type="cellIs" priority="120" dxfId="5" operator="greaterThanOrEqual" stopIfTrue="1">
      <formula>1</formula>
    </cfRule>
    <cfRule type="expression" priority="121" dxfId="256" stopIfTrue="1">
      <formula>OR(Calculadora!$S$10="",Calculadora!$I$12="no")</formula>
    </cfRule>
  </conditionalFormatting>
  <conditionalFormatting sqref="T19 T21">
    <cfRule type="cellIs" priority="122" dxfId="5" operator="greaterThanOrEqual" stopIfTrue="1">
      <formula>1</formula>
    </cfRule>
    <cfRule type="expression" priority="123" dxfId="256" stopIfTrue="1">
      <formula>Calculadora!$S$10=""</formula>
    </cfRule>
  </conditionalFormatting>
  <conditionalFormatting sqref="T18">
    <cfRule type="expression" priority="124" dxfId="260" stopIfTrue="1">
      <formula>OR(Calculadora!$S$10="",Calculadora!$I$12="no")</formula>
    </cfRule>
  </conditionalFormatting>
  <conditionalFormatting sqref="U17">
    <cfRule type="expression" priority="125" dxfId="0" stopIfTrue="1">
      <formula>OR(Calculadora!$S$10="",Calculadora!$I$12="no")</formula>
    </cfRule>
  </conditionalFormatting>
  <conditionalFormatting sqref="T20">
    <cfRule type="expression" priority="126" dxfId="260" stopIfTrue="1">
      <formula>Calculadora!$S$10=""</formula>
    </cfRule>
  </conditionalFormatting>
  <conditionalFormatting sqref="U21">
    <cfRule type="expression" priority="127" dxfId="0" stopIfTrue="1">
      <formula>Calculadora!$S$10=""</formula>
    </cfRule>
  </conditionalFormatting>
  <dataValidations count="12">
    <dataValidation type="list" allowBlank="1" showInputMessage="1" showErrorMessage="1" sqref="Q12:T12">
      <formula1>Calculadora!$AI$7:$AI$11</formula1>
    </dataValidation>
    <dataValidation type="list" allowBlank="1" showInputMessage="1" showErrorMessage="1" sqref="I12:J12">
      <formula1>Calculadora!$AI$2:$AI$3</formula1>
    </dataValidation>
    <dataValidation type="list" allowBlank="1" showInputMessage="1" showErrorMessage="1" errorTitle="Calculadora - Comcel" error="Seleccione una opción de la lista" sqref="I10:M10">
      <formula1>Calculadora!$AL$21:$AL$24</formula1>
    </dataValidation>
    <dataValidation type="whole" allowBlank="1" showInputMessage="1" showErrorMessage="1" errorTitle="Calculadora" error="El valor escrito se sale de los rangos establecidos, no agregue letras ni símbolos." sqref="K21:N21">
      <formula1>0</formula1>
      <formula2>100000000</formula2>
    </dataValidation>
    <dataValidation type="list" allowBlank="1" showInputMessage="1" showErrorMessage="1" errorTitle="Calculadora - Comcel" error="Seleccione una opción de la lista" sqref="J5">
      <formula1>Calculadora!$AE$5:$AE$6</formula1>
    </dataValidation>
    <dataValidation type="list" showInputMessage="1" showErrorMessage="1" errorTitle="Calculadora " error="Seleccione una opción de la lista" sqref="R19">
      <formula1>Calculadora!$AE$2:$AE$3</formula1>
    </dataValidation>
    <dataValidation type="list" allowBlank="1" showInputMessage="1" showErrorMessage="1" errorTitle="Ayuda Ventas" error="Seleccione solo una opcion de la lista" sqref="R10">
      <formula1>Calculadora!$AI$2:$AI$3</formula1>
    </dataValidation>
    <dataValidation type="whole" allowBlank="1" showInputMessage="1" showErrorMessage="1" errorTitle="Ayuda Ventas" error="Relacione el numero de unidades por el cual quiere multiplicar cada concepto. Un valor entre 1 y 99" sqref="T21">
      <formula1>1</formula1>
      <formula2>50</formula2>
    </dataValidation>
    <dataValidation type="whole" allowBlank="1" showInputMessage="1" showErrorMessage="1" errorTitle="Calculadora" error="Se sale del rango" sqref="F17:I17 K17:N17 F19:I19 K19:N19">
      <formula1>0</formula1>
      <formula2>10000000</formula2>
    </dataValidation>
    <dataValidation type="whole" allowBlank="1" showInputMessage="1" showErrorMessage="1" errorTitle="Calculadora " error="El valor escrito se sale de los rangos establecidos, no agregue letras ni símbolos." sqref="F21:I21">
      <formula1>0</formula1>
      <formula2>100000000</formula2>
    </dataValidation>
    <dataValidation type="list" showInputMessage="1" showErrorMessage="1" errorTitle="Calculadora " error="Seleccione una opción de la lista" sqref="R17">
      <formula1>Calculadora!$AE$2:$AE$3</formula1>
    </dataValidation>
    <dataValidation type="whole" allowBlank="1" showInputMessage="1" showErrorMessage="1" errorTitle="Ayuda Ventas" error="Relacione el numero de unidades por el cual quiere multiplicar cada concepto. Un valor entre 1 y 99" sqref="T17 T19">
      <formula1>1</formula1>
      <formula2>50</formula2>
    </dataValidation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Comunicación Celular Comcel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ssuser</dc:creator>
  <cp:keywords/>
  <dc:description/>
  <cp:lastModifiedBy>Carlos Andres  Huertas Aux</cp:lastModifiedBy>
  <cp:lastPrinted>2009-11-06T15:34:17Z</cp:lastPrinted>
  <dcterms:created xsi:type="dcterms:W3CDTF">2009-04-17T13:23:22Z</dcterms:created>
  <dcterms:modified xsi:type="dcterms:W3CDTF">2013-09-12T14:10:35Z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servaciones">
    <vt:lpwstr/>
  </property>
  <property fmtid="{D5CDD505-2E9C-101B-9397-08002B2CF9AE}" pid="3" name="ContentType">
    <vt:lpwstr>Documento</vt:lpwstr>
  </property>
</Properties>
</file>